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0425"/>
  </bookViews>
  <sheets>
    <sheet name="فروردین 98" sheetId="6" r:id="rId1"/>
    <sheet name="بخشنامه وزارت کار" sheetId="2" r:id="rId2"/>
  </sheets>
  <calcPr calcId="152511"/>
</workbook>
</file>

<file path=xl/calcChain.xml><?xml version="1.0" encoding="utf-8"?>
<calcChain xmlns="http://schemas.openxmlformats.org/spreadsheetml/2006/main">
  <c r="Q5" i="6" l="1"/>
  <c r="Y6" i="6" l="1"/>
  <c r="Y8" i="6"/>
  <c r="Y9" i="6"/>
  <c r="Y10" i="6"/>
  <c r="Y11" i="6"/>
  <c r="Y12" i="6"/>
  <c r="Y13" i="6"/>
  <c r="Y14" i="6"/>
  <c r="Y15" i="6"/>
  <c r="Y16" i="6"/>
  <c r="Y17" i="6"/>
  <c r="Y7" i="6"/>
  <c r="AG18" i="6" l="1"/>
  <c r="O18" i="6"/>
  <c r="W16" i="6" l="1"/>
  <c r="W17" i="6"/>
  <c r="W6" i="6"/>
  <c r="W7" i="6"/>
  <c r="W8" i="6"/>
  <c r="W9" i="6"/>
  <c r="W10" i="6"/>
  <c r="W11" i="6"/>
  <c r="W12" i="6"/>
  <c r="W13" i="6"/>
  <c r="W14" i="6"/>
  <c r="W15" i="6"/>
  <c r="W5" i="6"/>
  <c r="W18" i="6" s="1"/>
  <c r="E5" i="2" l="1"/>
  <c r="E6" i="2" s="1"/>
  <c r="X9" i="6" l="1"/>
  <c r="X10" i="6"/>
  <c r="X11" i="6"/>
  <c r="X12" i="6"/>
  <c r="X13" i="6"/>
  <c r="X14" i="6"/>
  <c r="X15" i="6"/>
  <c r="X16" i="6"/>
  <c r="X17" i="6"/>
  <c r="X5" i="6"/>
  <c r="X6" i="6"/>
  <c r="X7" i="6"/>
  <c r="X8" i="6"/>
  <c r="V9" i="6"/>
  <c r="V10" i="6"/>
  <c r="V11" i="6"/>
  <c r="V12" i="6"/>
  <c r="V13" i="6"/>
  <c r="V14" i="6"/>
  <c r="V15" i="6"/>
  <c r="V16" i="6"/>
  <c r="V17" i="6"/>
  <c r="V5" i="6"/>
  <c r="V6" i="6"/>
  <c r="V7" i="6"/>
  <c r="V8" i="6"/>
  <c r="U9" i="6"/>
  <c r="U10" i="6"/>
  <c r="U11" i="6"/>
  <c r="U12" i="6"/>
  <c r="U13" i="6"/>
  <c r="U14" i="6"/>
  <c r="U15" i="6"/>
  <c r="U16" i="6"/>
  <c r="U17" i="6"/>
  <c r="U5" i="6"/>
  <c r="U6" i="6"/>
  <c r="U7" i="6"/>
  <c r="U8" i="6"/>
  <c r="T9" i="6"/>
  <c r="T10" i="6"/>
  <c r="T11" i="6"/>
  <c r="T12" i="6"/>
  <c r="T13" i="6"/>
  <c r="T14" i="6"/>
  <c r="T15" i="6"/>
  <c r="T16" i="6"/>
  <c r="T17" i="6"/>
  <c r="T5" i="6"/>
  <c r="T6" i="6"/>
  <c r="T7" i="6"/>
  <c r="T8" i="6"/>
  <c r="S9" i="6"/>
  <c r="S10" i="6"/>
  <c r="S11" i="6"/>
  <c r="S12" i="6"/>
  <c r="S13" i="6"/>
  <c r="S14" i="6"/>
  <c r="S15" i="6"/>
  <c r="S16" i="6"/>
  <c r="S17" i="6"/>
  <c r="S5" i="6"/>
  <c r="S6" i="6"/>
  <c r="S7" i="6"/>
  <c r="S8" i="6"/>
  <c r="Q9" i="6"/>
  <c r="Q10" i="6"/>
  <c r="Q11" i="6"/>
  <c r="Q12" i="6"/>
  <c r="Q13" i="6"/>
  <c r="Q14" i="6"/>
  <c r="Q15" i="6"/>
  <c r="Q16" i="6"/>
  <c r="Q17" i="6"/>
  <c r="Q8" i="6"/>
  <c r="P9" i="6"/>
  <c r="P10" i="6"/>
  <c r="P11" i="6"/>
  <c r="P12" i="6"/>
  <c r="P13" i="6"/>
  <c r="P14" i="6"/>
  <c r="P15" i="6"/>
  <c r="P16" i="6"/>
  <c r="P17" i="6"/>
  <c r="P5" i="6"/>
  <c r="P6" i="6"/>
  <c r="P7" i="6"/>
  <c r="P8" i="6"/>
  <c r="B8" i="2"/>
  <c r="P18" i="6" l="1"/>
  <c r="U18" i="6"/>
  <c r="Q6" i="6"/>
  <c r="V18" i="6"/>
  <c r="S18" i="6"/>
  <c r="Q7" i="6"/>
  <c r="Q18" i="6" s="1"/>
  <c r="X18" i="6"/>
  <c r="T18" i="6"/>
  <c r="R17" i="6"/>
  <c r="Z17" i="6" s="1"/>
  <c r="R16" i="6"/>
  <c r="Z16" i="6" s="1"/>
  <c r="R15" i="6"/>
  <c r="Z15" i="6" s="1"/>
  <c r="R14" i="6"/>
  <c r="Z14" i="6" s="1"/>
  <c r="R13" i="6"/>
  <c r="Z13" i="6" s="1"/>
  <c r="R12" i="6"/>
  <c r="Z12" i="6" s="1"/>
  <c r="R11" i="6"/>
  <c r="Z11" i="6" s="1"/>
  <c r="R10" i="6"/>
  <c r="Z10" i="6" s="1"/>
  <c r="R9" i="6"/>
  <c r="Z9" i="6" s="1"/>
  <c r="AC17" i="6"/>
  <c r="AC16" i="6"/>
  <c r="AC15" i="6"/>
  <c r="AC14" i="6"/>
  <c r="AC13" i="6"/>
  <c r="AC12" i="6"/>
  <c r="AC11" i="6"/>
  <c r="AC10" i="6"/>
  <c r="AC9" i="6"/>
  <c r="R8" i="6"/>
  <c r="Z8" i="6" s="1"/>
  <c r="R6" i="6"/>
  <c r="R5" i="6"/>
  <c r="Y5" i="6" s="1"/>
  <c r="G5" i="2"/>
  <c r="H5" i="2" s="1"/>
  <c r="AC6" i="6" l="1"/>
  <c r="Z6" i="6"/>
  <c r="R7" i="6"/>
  <c r="R18" i="6"/>
  <c r="AB8" i="6"/>
  <c r="AA8" i="6"/>
  <c r="AB9" i="6"/>
  <c r="AA9" i="6"/>
  <c r="AB10" i="6"/>
  <c r="AA10" i="6"/>
  <c r="AB11" i="6"/>
  <c r="AA11" i="6"/>
  <c r="AB12" i="6"/>
  <c r="AA12" i="6"/>
  <c r="AB13" i="6"/>
  <c r="AA13" i="6"/>
  <c r="AB14" i="6"/>
  <c r="AA14" i="6"/>
  <c r="AB15" i="6"/>
  <c r="AA15" i="6"/>
  <c r="AB16" i="6"/>
  <c r="AA16" i="6"/>
  <c r="AB17" i="6"/>
  <c r="AA17" i="6"/>
  <c r="AD9" i="6"/>
  <c r="AD10" i="6"/>
  <c r="AD11" i="6"/>
  <c r="AD12" i="6"/>
  <c r="AD13" i="6"/>
  <c r="AD14" i="6"/>
  <c r="AD15" i="6"/>
  <c r="AD16" i="6"/>
  <c r="AD17" i="6"/>
  <c r="E7" i="2"/>
  <c r="E8" i="2" s="1"/>
  <c r="Z5" i="6" l="1"/>
  <c r="AC5" i="6"/>
  <c r="Z7" i="6"/>
  <c r="AC7" i="6"/>
  <c r="AB6" i="6"/>
  <c r="AA6" i="6"/>
  <c r="AD6" i="6" s="1"/>
  <c r="AE6" i="6" s="1"/>
  <c r="AF6" i="6" s="1"/>
  <c r="AH6" i="6" s="1"/>
  <c r="AE17" i="6"/>
  <c r="AF17" i="6"/>
  <c r="AH17" i="6" s="1"/>
  <c r="AI17" i="6" s="1"/>
  <c r="AE16" i="6"/>
  <c r="AF16" i="6"/>
  <c r="AH16" i="6" s="1"/>
  <c r="AI16" i="6" s="1"/>
  <c r="AE15" i="6"/>
  <c r="AF15" i="6"/>
  <c r="AH15" i="6" s="1"/>
  <c r="AI15" i="6" s="1"/>
  <c r="AE14" i="6"/>
  <c r="AF14" i="6"/>
  <c r="AH14" i="6" s="1"/>
  <c r="AI14" i="6" s="1"/>
  <c r="AE13" i="6"/>
  <c r="AF13" i="6"/>
  <c r="AH13" i="6" s="1"/>
  <c r="AI13" i="6" s="1"/>
  <c r="AE12" i="6"/>
  <c r="AF12" i="6"/>
  <c r="AH12" i="6" s="1"/>
  <c r="AI12" i="6" s="1"/>
  <c r="AE11" i="6"/>
  <c r="AF11" i="6"/>
  <c r="AH11" i="6" s="1"/>
  <c r="AI11" i="6" s="1"/>
  <c r="AE10" i="6"/>
  <c r="AF10" i="6"/>
  <c r="AH10" i="6" s="1"/>
  <c r="AI10" i="6" s="1"/>
  <c r="AE9" i="6"/>
  <c r="AF9" i="6"/>
  <c r="AH9" i="6" s="1"/>
  <c r="AI9" i="6" s="1"/>
  <c r="Y18" i="6"/>
  <c r="AC8" i="6"/>
  <c r="G8" i="2"/>
  <c r="H8" i="2" s="1"/>
  <c r="F8" i="2"/>
  <c r="AA7" i="6" l="1"/>
  <c r="AD7" i="6" s="1"/>
  <c r="AB7" i="6"/>
  <c r="AC18" i="6"/>
  <c r="Z18" i="6"/>
  <c r="AB5" i="6"/>
  <c r="AB18" i="6" s="1"/>
  <c r="AA5" i="6"/>
  <c r="AI6" i="6"/>
  <c r="F4" i="2"/>
  <c r="AA18" i="6" l="1"/>
  <c r="AD5" i="6"/>
  <c r="AE7" i="6"/>
  <c r="AF7" i="6" s="1"/>
  <c r="AH7" i="6" s="1"/>
  <c r="AI7" i="6" s="1"/>
  <c r="AD8" i="6"/>
  <c r="G4" i="2"/>
  <c r="H4" i="2" s="1"/>
  <c r="F7" i="2"/>
  <c r="AD18" i="6" l="1"/>
  <c r="AE8" i="6"/>
  <c r="AF8" i="6"/>
  <c r="AH8" i="6" s="1"/>
  <c r="AI8" i="6" s="1"/>
  <c r="F5" i="2"/>
  <c r="G6" i="2" l="1"/>
  <c r="F6" i="2"/>
  <c r="G7" i="2"/>
  <c r="H7" i="2" s="1"/>
  <c r="I18" i="6"/>
  <c r="H6" i="2" l="1"/>
  <c r="AE5" i="6"/>
  <c r="AE18" i="6" s="1"/>
  <c r="AF5" i="6"/>
  <c r="AF18" i="6" s="1"/>
  <c r="AH5" i="6" l="1"/>
  <c r="AH18" i="6" s="1"/>
  <c r="AA19" i="6"/>
  <c r="AI5" i="6" l="1"/>
  <c r="AI18" i="6" s="1"/>
  <c r="AA20" i="6"/>
  <c r="AA21" i="6" l="1"/>
</calcChain>
</file>

<file path=xl/sharedStrings.xml><?xml version="1.0" encoding="utf-8"?>
<sst xmlns="http://schemas.openxmlformats.org/spreadsheetml/2006/main" count="85" uniqueCount="82">
  <si>
    <t>ردیف</t>
  </si>
  <si>
    <t>نام</t>
  </si>
  <si>
    <t>مالیات</t>
  </si>
  <si>
    <t>خالص دریافتی</t>
  </si>
  <si>
    <t>اطلاعات پرسنل</t>
  </si>
  <si>
    <t>اقلام حقوق ناخالص</t>
  </si>
  <si>
    <t>اقلام کسور</t>
  </si>
  <si>
    <t>نام 
خانوادگی</t>
  </si>
  <si>
    <t>شماره
 پرسنلی</t>
  </si>
  <si>
    <t>دستمزد 
روزانه</t>
  </si>
  <si>
    <t>حقوق
 ماهیانه</t>
  </si>
  <si>
    <t>حق 
مسکن</t>
  </si>
  <si>
    <t>بن  
خواروبار</t>
  </si>
  <si>
    <t xml:space="preserve">حق 
اولاد </t>
  </si>
  <si>
    <t>حق 
ماموریت</t>
  </si>
  <si>
    <t>حقوق ناخالص
 دریافتی</t>
  </si>
  <si>
    <t>جمع 
کسور</t>
  </si>
  <si>
    <t xml:space="preserve">جمع کل: </t>
  </si>
  <si>
    <t>روزهای کارکرد</t>
  </si>
  <si>
    <t>تعداد اولاد</t>
  </si>
  <si>
    <t xml:space="preserve"> مبلغ 
اضافه کار</t>
  </si>
  <si>
    <t>ماده 46 ق.ک</t>
  </si>
  <si>
    <t>ماده59 ق.ک</t>
  </si>
  <si>
    <t>تعداد روز ماموریت</t>
  </si>
  <si>
    <t>مبلغ مشمول بیمه</t>
  </si>
  <si>
    <t>مبلغ مشمول مالیات</t>
  </si>
  <si>
    <t>ماده 86
ت.ا</t>
  </si>
  <si>
    <t>ت3 ماده 36</t>
  </si>
  <si>
    <t>وضعیت مهارتی</t>
  </si>
  <si>
    <t>مرکز هزینه</t>
  </si>
  <si>
    <t>% 3بیکاری</t>
  </si>
  <si>
    <t>% 20کافرما</t>
  </si>
  <si>
    <t>حق مسکن</t>
  </si>
  <si>
    <t>حق بن</t>
  </si>
  <si>
    <t xml:space="preserve">حقوق پایه روزانه </t>
  </si>
  <si>
    <t>روزهای کل ماه</t>
  </si>
  <si>
    <t xml:space="preserve">پایه سواتی </t>
  </si>
  <si>
    <t>پایه سنواتی روزانه 97</t>
  </si>
  <si>
    <t>پایه سنواتی روزانه 96</t>
  </si>
  <si>
    <t>پایه سنواتی روزانه 95</t>
  </si>
  <si>
    <t>پایه سنواتی روزانه 94</t>
  </si>
  <si>
    <t>پایه سنواتی روزانه 93</t>
  </si>
  <si>
    <t>پایه سنواتی روزانه 92</t>
  </si>
  <si>
    <t>پایه سنواتی روزانه 91</t>
  </si>
  <si>
    <t>تاریخ استخدام</t>
  </si>
  <si>
    <t xml:space="preserve">علی </t>
  </si>
  <si>
    <t>علیجانی</t>
  </si>
  <si>
    <t xml:space="preserve">حقوق پایه </t>
  </si>
  <si>
    <t>شب کاری</t>
  </si>
  <si>
    <t>ساعت شب کاری</t>
  </si>
  <si>
    <t>کل مالیات متعلقه</t>
  </si>
  <si>
    <t>مجل درج
 آرم شرکت</t>
  </si>
  <si>
    <t xml:space="preserve">معافیت مالیاتی </t>
  </si>
  <si>
    <t>مازاد بر1.5 برابر معافیت حقوق تا میزان 2.5 برابر آن</t>
  </si>
  <si>
    <t>مازاد بر 2.5 برابر معافیت حقوق تا میزان 4 برابر آن</t>
  </si>
  <si>
    <t>مازاد بر 4 برابر معافیت حقوق تا میزان 6 برابر آن</t>
  </si>
  <si>
    <t>مازاد بر6 برابر معافیت حقوق</t>
  </si>
  <si>
    <t>مازاد معافیت مالیاتی تا 1.5 برابر آن</t>
  </si>
  <si>
    <t>پایه سنواتی روزانه 98</t>
  </si>
  <si>
    <t>حداقل دستمزد وزارت کاری سال 98</t>
  </si>
  <si>
    <t>ساعت اضافه کاری تعطیل کاری</t>
  </si>
  <si>
    <t>ساعت اضافه کاری عادی</t>
  </si>
  <si>
    <t>سجاد</t>
  </si>
  <si>
    <t>حسین زاده</t>
  </si>
  <si>
    <t>سبحان</t>
  </si>
  <si>
    <t>وحیدزاده</t>
  </si>
  <si>
    <r>
      <t>تهیه و تنظیم : حسین اعطایی هوجقان
کاربری تلگرامی:</t>
    </r>
    <r>
      <rPr>
        <b/>
        <sz val="14"/>
        <color theme="1"/>
        <rFont val="Arial"/>
        <family val="2"/>
      </rPr>
      <t xml:space="preserve"> AtaeiTalant@</t>
    </r>
    <r>
      <rPr>
        <b/>
        <sz val="14"/>
        <color theme="1"/>
        <rFont val="B Nazanin"/>
        <charset val="178"/>
      </rPr>
      <t xml:space="preserve">
</t>
    </r>
  </si>
  <si>
    <t>مالیات صرفا تا سقف
 110 میلیون ریال</t>
  </si>
  <si>
    <t>مساعده</t>
  </si>
  <si>
    <t>23% بیمه 
سهم کارفرما</t>
  </si>
  <si>
    <t>7% بیمه 
سهم کارگر</t>
  </si>
  <si>
    <t>مبلغ مشمول مالیات پس از کسر دوهفتم سهم 7% بیمه کارگر</t>
  </si>
  <si>
    <t>1397/01/01</t>
  </si>
  <si>
    <t>ضریب مالیاتی درصد</t>
  </si>
  <si>
    <t>مازاد سالانه
ريال</t>
  </si>
  <si>
    <t>مازاد ماهانه
ریال</t>
  </si>
  <si>
    <t>سالانه
 ریال</t>
  </si>
  <si>
    <t>ماهانه 
 ريال</t>
  </si>
  <si>
    <t>ماده 53 ,58 ق.ک</t>
  </si>
  <si>
    <t>گروه آموزشی تالانت Talant.ir
جدول حقوق و دستمزد فروردین سال 1398</t>
  </si>
  <si>
    <t>سقف برابری حداکثر مبلغ مشمول کسر بیمه</t>
  </si>
  <si>
    <t>1392/08/01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</si>
</sst>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;[Red]#,##0"/>
    <numFmt numFmtId="166" formatCode="_(* #,##0_);_(* \(#,##0\);_(* &quot;-&quot;??_);_(@_)"/>
    <numFmt numFmtId="167" formatCode="%\ 0"/>
    <numFmt numFmtId="168" formatCode="_(* #,##0.0_);_(* \(#,##0.0\);_(* &quot;-&quot;?_);_(@_)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4"/>
      <color theme="1"/>
      <name val="Arial"/>
      <family val="2"/>
    </font>
    <font>
      <b/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28"/>
      <color theme="1"/>
      <name val="B Nazanin"/>
      <charset val="178"/>
    </font>
    <font>
      <b/>
      <sz val="24"/>
      <color theme="1"/>
      <name val="B Nazanin"/>
      <charset val="178"/>
    </font>
    <font>
      <b/>
      <sz val="36"/>
      <color theme="1"/>
      <name val="B Nazanin"/>
      <charset val="178"/>
    </font>
    <font>
      <b/>
      <sz val="12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3"/>
      <color theme="1"/>
      <name val="B Nazanin"/>
      <charset val="178"/>
    </font>
    <font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rgb="FFFF0000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ck">
        <color auto="1"/>
      </left>
      <right style="thin">
        <color theme="9" tint="-0.24994659260841701"/>
      </right>
      <top style="thick">
        <color auto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auto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auto="1"/>
      </right>
      <top style="thick">
        <color auto="1"/>
      </top>
      <bottom style="thin">
        <color theme="9" tint="-0.24994659260841701"/>
      </bottom>
      <diagonal/>
    </border>
    <border>
      <left style="thick">
        <color auto="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auto="1"/>
      </left>
      <right style="thin">
        <color theme="9" tint="-0.24994659260841701"/>
      </right>
      <top style="thin">
        <color theme="9" tint="-0.24994659260841701"/>
      </top>
      <bottom style="thick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auto="1"/>
      </bottom>
      <diagonal/>
    </border>
    <border>
      <left style="thin">
        <color theme="9" tint="-0.24994659260841701"/>
      </left>
      <right style="thick">
        <color auto="1"/>
      </right>
      <top style="thin">
        <color theme="9" tint="-0.24994659260841701"/>
      </top>
      <bottom style="thick">
        <color auto="1"/>
      </bottom>
      <diagonal/>
    </border>
    <border>
      <left style="thin">
        <color auto="1"/>
      </left>
      <right style="thin">
        <color theme="9" tint="-0.24994659260841701"/>
      </right>
      <top style="thick">
        <color theme="1"/>
      </top>
      <bottom style="thick">
        <color theme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4" fillId="0" borderId="0" xfId="0" applyFont="1"/>
    <xf numFmtId="166" fontId="0" fillId="0" borderId="0" xfId="1" applyNumberFormat="1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0" fillId="0" borderId="0" xfId="0" applyNumberFormat="1"/>
    <xf numFmtId="0" fontId="3" fillId="6" borderId="0" xfId="0" applyFont="1" applyFill="1"/>
    <xf numFmtId="0" fontId="2" fillId="0" borderId="0" xfId="0" applyFont="1" applyBorder="1"/>
    <xf numFmtId="0" fontId="4" fillId="0" borderId="0" xfId="0" applyFont="1" applyBorder="1"/>
    <xf numFmtId="0" fontId="8" fillId="0" borderId="0" xfId="0" applyFont="1"/>
    <xf numFmtId="0" fontId="8" fillId="0" borderId="21" xfId="0" applyFont="1" applyBorder="1" applyAlignment="1">
      <alignment vertical="center"/>
    </xf>
    <xf numFmtId="166" fontId="8" fillId="0" borderId="22" xfId="1" applyNumberFormat="1" applyFont="1" applyBorder="1" applyAlignment="1">
      <alignment vertical="center"/>
    </xf>
    <xf numFmtId="167" fontId="8" fillId="0" borderId="23" xfId="2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67" fontId="8" fillId="0" borderId="26" xfId="2" applyNumberFormat="1" applyFont="1" applyBorder="1" applyAlignment="1">
      <alignment horizontal="center" vertical="center"/>
    </xf>
    <xf numFmtId="166" fontId="8" fillId="0" borderId="28" xfId="1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66" fontId="8" fillId="0" borderId="30" xfId="0" applyNumberFormat="1" applyFont="1" applyBorder="1" applyAlignment="1">
      <alignment vertical="center"/>
    </xf>
    <xf numFmtId="167" fontId="8" fillId="0" borderId="31" xfId="2" applyNumberFormat="1" applyFont="1" applyBorder="1" applyAlignment="1">
      <alignment horizontal="center" vertical="center"/>
    </xf>
    <xf numFmtId="11" fontId="8" fillId="0" borderId="25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18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7" fillId="0" borderId="0" xfId="0" applyFont="1" applyBorder="1"/>
    <xf numFmtId="165" fontId="9" fillId="0" borderId="9" xfId="0" applyNumberFormat="1" applyFont="1" applyBorder="1" applyAlignment="1">
      <alignment horizontal="center" vertical="center" readingOrder="2"/>
    </xf>
    <xf numFmtId="165" fontId="9" fillId="0" borderId="0" xfId="0" applyNumberFormat="1" applyFont="1" applyBorder="1" applyAlignment="1">
      <alignment horizontal="center" vertical="center" readingOrder="2"/>
    </xf>
    <xf numFmtId="0" fontId="11" fillId="7" borderId="9" xfId="0" applyFont="1" applyFill="1" applyBorder="1" applyAlignment="1">
      <alignment horizontal="center" vertical="center" wrapText="1" readingOrder="2"/>
    </xf>
    <xf numFmtId="165" fontId="9" fillId="7" borderId="9" xfId="0" applyNumberFormat="1" applyFont="1" applyFill="1" applyBorder="1" applyAlignment="1">
      <alignment horizontal="center" vertical="center" readingOrder="2"/>
    </xf>
    <xf numFmtId="165" fontId="9" fillId="0" borderId="17" xfId="0" applyNumberFormat="1" applyFont="1" applyBorder="1" applyAlignment="1">
      <alignment horizontal="center" vertical="center" readingOrder="2"/>
    </xf>
    <xf numFmtId="0" fontId="11" fillId="7" borderId="0" xfId="0" applyFont="1" applyFill="1" applyBorder="1" applyAlignment="1">
      <alignment horizontal="center" vertical="center" wrapText="1" readingOrder="2"/>
    </xf>
    <xf numFmtId="165" fontId="9" fillId="7" borderId="0" xfId="0" applyNumberFormat="1" applyFont="1" applyFill="1" applyBorder="1" applyAlignment="1">
      <alignment horizontal="center" vertical="center" readingOrder="2"/>
    </xf>
    <xf numFmtId="165" fontId="9" fillId="0" borderId="0" xfId="0" applyNumberFormat="1" applyFont="1" applyFill="1" applyBorder="1" applyAlignment="1">
      <alignment horizontal="center" vertical="center" readingOrder="2"/>
    </xf>
    <xf numFmtId="0" fontId="8" fillId="0" borderId="0" xfId="0" applyFont="1" applyFill="1" applyBorder="1"/>
    <xf numFmtId="9" fontId="11" fillId="7" borderId="0" xfId="0" applyNumberFormat="1" applyFont="1" applyFill="1" applyBorder="1" applyAlignment="1">
      <alignment horizontal="center" vertical="center" wrapText="1" readingOrder="2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/>
    <xf numFmtId="0" fontId="18" fillId="0" borderId="0" xfId="0" applyFont="1"/>
    <xf numFmtId="0" fontId="16" fillId="2" borderId="13" xfId="0" applyFont="1" applyFill="1" applyBorder="1" applyAlignment="1">
      <alignment horizontal="center" vertical="center" wrapText="1"/>
    </xf>
    <xf numFmtId="168" fontId="0" fillId="0" borderId="0" xfId="0" applyNumberFormat="1"/>
    <xf numFmtId="0" fontId="8" fillId="5" borderId="1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165" fontId="9" fillId="6" borderId="32" xfId="0" applyNumberFormat="1" applyFont="1" applyFill="1" applyBorder="1" applyAlignment="1">
      <alignment horizontal="center" vertical="center" readingOrder="2"/>
    </xf>
    <xf numFmtId="165" fontId="9" fillId="6" borderId="33" xfId="0" applyNumberFormat="1" applyFont="1" applyFill="1" applyBorder="1" applyAlignment="1">
      <alignment horizontal="center" vertical="center" readingOrder="2"/>
    </xf>
    <xf numFmtId="165" fontId="9" fillId="6" borderId="12" xfId="0" applyNumberFormat="1" applyFont="1" applyFill="1" applyBorder="1" applyAlignment="1">
      <alignment horizontal="center" vertical="center" readingOrder="2"/>
    </xf>
    <xf numFmtId="165" fontId="9" fillId="6" borderId="11" xfId="0" applyNumberFormat="1" applyFont="1" applyFill="1" applyBorder="1" applyAlignment="1">
      <alignment horizontal="center" vertical="center" readingOrder="2"/>
    </xf>
    <xf numFmtId="165" fontId="9" fillId="8" borderId="12" xfId="0" applyNumberFormat="1" applyFont="1" applyFill="1" applyBorder="1" applyAlignment="1">
      <alignment horizontal="center" vertical="center" readingOrder="2"/>
    </xf>
    <xf numFmtId="165" fontId="9" fillId="8" borderId="43" xfId="0" applyNumberFormat="1" applyFont="1" applyFill="1" applyBorder="1" applyAlignment="1">
      <alignment horizontal="center" vertical="center" readingOrder="2"/>
    </xf>
    <xf numFmtId="0" fontId="19" fillId="0" borderId="34" xfId="0" applyFont="1" applyBorder="1" applyAlignment="1">
      <alignment horizontal="center" vertical="center" readingOrder="2"/>
    </xf>
    <xf numFmtId="0" fontId="19" fillId="4" borderId="35" xfId="0" applyFont="1" applyFill="1" applyBorder="1" applyAlignment="1">
      <alignment horizontal="center" vertical="center" readingOrder="2"/>
    </xf>
    <xf numFmtId="165" fontId="19" fillId="0" borderId="35" xfId="0" applyNumberFormat="1" applyFont="1" applyBorder="1" applyAlignment="1">
      <alignment horizontal="center" vertical="center" readingOrder="2"/>
    </xf>
    <xf numFmtId="165" fontId="19" fillId="8" borderId="36" xfId="0" applyNumberFormat="1" applyFont="1" applyFill="1" applyBorder="1" applyAlignment="1">
      <alignment horizontal="center" vertical="center" readingOrder="2"/>
    </xf>
    <xf numFmtId="0" fontId="20" fillId="0" borderId="0" xfId="0" applyFont="1"/>
    <xf numFmtId="0" fontId="19" fillId="0" borderId="37" xfId="0" applyFont="1" applyBorder="1" applyAlignment="1">
      <alignment horizontal="center" vertical="center" readingOrder="2"/>
    </xf>
    <xf numFmtId="0" fontId="19" fillId="4" borderId="38" xfId="0" applyFont="1" applyFill="1" applyBorder="1" applyAlignment="1">
      <alignment horizontal="center" vertical="center" readingOrder="2"/>
    </xf>
    <xf numFmtId="165" fontId="19" fillId="0" borderId="38" xfId="0" applyNumberFormat="1" applyFont="1" applyBorder="1" applyAlignment="1">
      <alignment horizontal="center" vertical="center" readingOrder="2"/>
    </xf>
    <xf numFmtId="165" fontId="19" fillId="8" borderId="38" xfId="0" applyNumberFormat="1" applyFont="1" applyFill="1" applyBorder="1" applyAlignment="1">
      <alignment horizontal="center" vertical="center" readingOrder="2"/>
    </xf>
    <xf numFmtId="165" fontId="19" fillId="8" borderId="39" xfId="0" applyNumberFormat="1" applyFont="1" applyFill="1" applyBorder="1" applyAlignment="1">
      <alignment horizontal="center" vertical="center" readingOrder="2"/>
    </xf>
    <xf numFmtId="0" fontId="19" fillId="0" borderId="40" xfId="0" applyFont="1" applyBorder="1" applyAlignment="1">
      <alignment horizontal="center" vertical="center" readingOrder="2"/>
    </xf>
    <xf numFmtId="0" fontId="19" fillId="4" borderId="41" xfId="0" applyFont="1" applyFill="1" applyBorder="1" applyAlignment="1">
      <alignment horizontal="center" vertical="center" readingOrder="2"/>
    </xf>
    <xf numFmtId="165" fontId="19" fillId="0" borderId="41" xfId="0" applyNumberFormat="1" applyFont="1" applyBorder="1" applyAlignment="1">
      <alignment horizontal="center" vertical="center" readingOrder="2"/>
    </xf>
    <xf numFmtId="165" fontId="19" fillId="8" borderId="42" xfId="0" applyNumberFormat="1" applyFont="1" applyFill="1" applyBorder="1" applyAlignment="1">
      <alignment horizontal="center" vertical="center" readingOrder="2"/>
    </xf>
    <xf numFmtId="0" fontId="9" fillId="9" borderId="0" xfId="0" applyFont="1" applyFill="1" applyAlignment="1">
      <alignment horizontal="center" vertical="top" wrapText="1"/>
    </xf>
    <xf numFmtId="0" fontId="12" fillId="4" borderId="11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503621</xdr:colOff>
      <xdr:row>0</xdr:row>
      <xdr:rowOff>76638</xdr:rowOff>
    </xdr:from>
    <xdr:to>
      <xdr:col>2</xdr:col>
      <xdr:colOff>942546</xdr:colOff>
      <xdr:row>0</xdr:row>
      <xdr:rowOff>864913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2749695" y="76638"/>
          <a:ext cx="1019184" cy="78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rightToLeft="1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5" sqref="Q5"/>
    </sheetView>
  </sheetViews>
  <sheetFormatPr defaultColWidth="9.140625" defaultRowHeight="22.5" x14ac:dyDescent="0.45"/>
  <cols>
    <col min="1" max="1" width="4.28515625" style="50" customWidth="1"/>
    <col min="2" max="2" width="8.7109375" style="50" customWidth="1"/>
    <col min="3" max="3" width="17.140625" style="50" customWidth="1"/>
    <col min="4" max="4" width="7.42578125" style="50" customWidth="1"/>
    <col min="5" max="5" width="10.140625" style="50" customWidth="1"/>
    <col min="6" max="6" width="10" style="50" customWidth="1"/>
    <col min="7" max="7" width="5.42578125" style="50" bestFit="1" customWidth="1"/>
    <col min="8" max="8" width="14" style="50" customWidth="1"/>
    <col min="9" max="9" width="9" style="50" customWidth="1"/>
    <col min="10" max="10" width="7.28515625" style="50" customWidth="1"/>
    <col min="11" max="11" width="8.140625" style="50" bestFit="1" customWidth="1"/>
    <col min="12" max="12" width="11.85546875" style="50" customWidth="1"/>
    <col min="13" max="13" width="15" style="50" customWidth="1"/>
    <col min="14" max="14" width="12.140625" style="50" customWidth="1"/>
    <col min="15" max="15" width="13" style="50" customWidth="1"/>
    <col min="16" max="16" width="16.7109375" style="50" customWidth="1"/>
    <col min="17" max="17" width="14.140625" style="50" customWidth="1"/>
    <col min="18" max="18" width="16.7109375" style="50" customWidth="1"/>
    <col min="19" max="19" width="13.85546875" style="50" customWidth="1"/>
    <col min="20" max="20" width="12.5703125" style="50" customWidth="1"/>
    <col min="21" max="21" width="13.140625" style="50" customWidth="1"/>
    <col min="22" max="22" width="16.85546875" style="50" customWidth="1"/>
    <col min="23" max="23" width="13.140625" style="50" customWidth="1"/>
    <col min="24" max="24" width="14.7109375" style="50" customWidth="1"/>
    <col min="25" max="25" width="18.5703125" style="50" customWidth="1"/>
    <col min="26" max="26" width="17.42578125" style="50" customWidth="1"/>
    <col min="27" max="27" width="16.5703125" style="50" customWidth="1"/>
    <col min="28" max="28" width="18.5703125" style="50" customWidth="1"/>
    <col min="29" max="29" width="17.42578125" style="50" customWidth="1"/>
    <col min="30" max="30" width="27.85546875" style="50" customWidth="1"/>
    <col min="31" max="31" width="20" style="50" hidden="1" customWidth="1"/>
    <col min="32" max="32" width="15.7109375" style="50" customWidth="1"/>
    <col min="33" max="33" width="12.7109375" style="50" customWidth="1"/>
    <col min="34" max="34" width="16.28515625" style="50" customWidth="1"/>
    <col min="35" max="35" width="17.42578125" style="50" customWidth="1"/>
    <col min="36" max="36" width="9.140625" style="2"/>
    <col min="37" max="16384" width="9.140625" style="1"/>
  </cols>
  <sheetData>
    <row r="1" spans="1:40" ht="79.5" customHeight="1" thickBot="1" x14ac:dyDescent="0.4">
      <c r="A1" s="81" t="s">
        <v>51</v>
      </c>
      <c r="B1" s="81"/>
      <c r="C1" s="81"/>
      <c r="D1" s="80" t="s">
        <v>79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K1" s="79" t="s">
        <v>66</v>
      </c>
      <c r="AL1" s="79"/>
      <c r="AM1" s="79"/>
      <c r="AN1" s="79"/>
    </row>
    <row r="2" spans="1:40" ht="30" customHeight="1" thickTop="1" thickBot="1" x14ac:dyDescent="0.4">
      <c r="A2" s="86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25"/>
      <c r="M2" s="25"/>
      <c r="N2" s="25"/>
      <c r="O2" s="92" t="s">
        <v>5</v>
      </c>
      <c r="P2" s="93"/>
      <c r="Q2" s="93"/>
      <c r="R2" s="93"/>
      <c r="S2" s="93"/>
      <c r="T2" s="93"/>
      <c r="U2" s="93"/>
      <c r="V2" s="93"/>
      <c r="W2" s="93"/>
      <c r="X2" s="93"/>
      <c r="Y2" s="94"/>
      <c r="Z2" s="95" t="s">
        <v>6</v>
      </c>
      <c r="AA2" s="96"/>
      <c r="AB2" s="96"/>
      <c r="AC2" s="96"/>
      <c r="AD2" s="96"/>
      <c r="AE2" s="96"/>
      <c r="AF2" s="96"/>
      <c r="AG2" s="96"/>
      <c r="AH2" s="97"/>
      <c r="AI2" s="101" t="s">
        <v>3</v>
      </c>
    </row>
    <row r="3" spans="1:40" ht="34.5" customHeight="1" thickTop="1" thickBot="1" x14ac:dyDescent="0.4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26"/>
      <c r="M3" s="26"/>
      <c r="N3" s="26"/>
      <c r="O3" s="103"/>
      <c r="P3" s="104"/>
      <c r="Q3" s="27"/>
      <c r="R3" s="27"/>
      <c r="S3" s="28" t="s">
        <v>27</v>
      </c>
      <c r="T3" s="28" t="s">
        <v>27</v>
      </c>
      <c r="U3" s="28" t="s">
        <v>26</v>
      </c>
      <c r="V3" s="28" t="s">
        <v>22</v>
      </c>
      <c r="W3" s="28" t="s">
        <v>78</v>
      </c>
      <c r="X3" s="28" t="s">
        <v>21</v>
      </c>
      <c r="Y3" s="29"/>
      <c r="Z3" s="98"/>
      <c r="AA3" s="99"/>
      <c r="AB3" s="99"/>
      <c r="AC3" s="99"/>
      <c r="AD3" s="99"/>
      <c r="AE3" s="99"/>
      <c r="AF3" s="99"/>
      <c r="AG3" s="99"/>
      <c r="AH3" s="100"/>
      <c r="AI3" s="102"/>
    </row>
    <row r="4" spans="1:40" s="5" customFormat="1" ht="48.75" customHeight="1" thickTop="1" thickBot="1" x14ac:dyDescent="0.3">
      <c r="A4" s="30" t="s">
        <v>0</v>
      </c>
      <c r="B4" s="31" t="s">
        <v>1</v>
      </c>
      <c r="C4" s="31" t="s">
        <v>7</v>
      </c>
      <c r="D4" s="31" t="s">
        <v>28</v>
      </c>
      <c r="E4" s="31" t="s">
        <v>29</v>
      </c>
      <c r="F4" s="31" t="s">
        <v>8</v>
      </c>
      <c r="G4" s="31" t="s">
        <v>19</v>
      </c>
      <c r="H4" s="31" t="s">
        <v>44</v>
      </c>
      <c r="I4" s="31" t="s">
        <v>23</v>
      </c>
      <c r="J4" s="31" t="s">
        <v>35</v>
      </c>
      <c r="K4" s="31" t="s">
        <v>18</v>
      </c>
      <c r="L4" s="31" t="s">
        <v>61</v>
      </c>
      <c r="M4" s="31" t="s">
        <v>60</v>
      </c>
      <c r="N4" s="32" t="s">
        <v>49</v>
      </c>
      <c r="O4" s="32" t="s">
        <v>9</v>
      </c>
      <c r="P4" s="32" t="s">
        <v>10</v>
      </c>
      <c r="Q4" s="32" t="s">
        <v>36</v>
      </c>
      <c r="R4" s="32" t="s">
        <v>47</v>
      </c>
      <c r="S4" s="31" t="s">
        <v>11</v>
      </c>
      <c r="T4" s="32" t="s">
        <v>12</v>
      </c>
      <c r="U4" s="31" t="s">
        <v>13</v>
      </c>
      <c r="V4" s="31" t="s">
        <v>20</v>
      </c>
      <c r="W4" s="31" t="s">
        <v>48</v>
      </c>
      <c r="X4" s="31" t="s">
        <v>14</v>
      </c>
      <c r="Y4" s="33" t="s">
        <v>15</v>
      </c>
      <c r="Z4" s="32" t="s">
        <v>24</v>
      </c>
      <c r="AA4" s="34" t="s">
        <v>70</v>
      </c>
      <c r="AB4" s="34" t="s">
        <v>69</v>
      </c>
      <c r="AC4" s="34" t="s">
        <v>25</v>
      </c>
      <c r="AD4" s="34" t="s">
        <v>71</v>
      </c>
      <c r="AE4" s="35" t="s">
        <v>67</v>
      </c>
      <c r="AF4" s="36" t="s">
        <v>50</v>
      </c>
      <c r="AG4" s="54" t="s">
        <v>68</v>
      </c>
      <c r="AH4" s="33" t="s">
        <v>16</v>
      </c>
      <c r="AI4" s="37" t="s">
        <v>3</v>
      </c>
      <c r="AJ4" s="4"/>
    </row>
    <row r="5" spans="1:40" s="69" customFormat="1" ht="30" customHeight="1" thickTop="1" x14ac:dyDescent="0.3">
      <c r="A5" s="65">
        <v>1</v>
      </c>
      <c r="B5" s="66" t="s">
        <v>45</v>
      </c>
      <c r="C5" s="66" t="s">
        <v>46</v>
      </c>
      <c r="D5" s="66"/>
      <c r="E5" s="66"/>
      <c r="F5" s="66">
        <v>1001</v>
      </c>
      <c r="G5" s="66">
        <v>0</v>
      </c>
      <c r="H5" s="66" t="s">
        <v>81</v>
      </c>
      <c r="I5" s="66"/>
      <c r="J5" s="66">
        <v>30</v>
      </c>
      <c r="K5" s="66">
        <v>30</v>
      </c>
      <c r="L5" s="66"/>
      <c r="M5" s="66"/>
      <c r="N5" s="66"/>
      <c r="O5" s="67">
        <v>505627</v>
      </c>
      <c r="P5" s="67">
        <f t="shared" ref="P5:P7" si="0">IF(C5&lt;&gt;"",O5*K5,"")</f>
        <v>15168810</v>
      </c>
      <c r="Q5" s="67">
        <f>IF(C5&lt;&gt;"",ROUND('بخشنامه وزارت کار'!$B$8*K5,0),"")</f>
        <v>700000</v>
      </c>
      <c r="R5" s="67">
        <f t="shared" ref="R5:R7" si="1">IF(C5&lt;&gt;"",Q5+P5,"")</f>
        <v>15868810</v>
      </c>
      <c r="S5" s="67">
        <f>IF(C5&lt;&gt;"",ROUND('بخشنامه وزارت کار'!$B$5/J5*K5,0),"")</f>
        <v>1000000</v>
      </c>
      <c r="T5" s="67">
        <f>IF(C5&lt;&gt;"",ROUND('بخشنامه وزارت کار'!$B$6/J5*K5,0),"")</f>
        <v>1900000</v>
      </c>
      <c r="U5" s="67">
        <f>IF(C5&lt;&gt;"",ROUND((3*'بخشنامه وزارت کار'!$B$4*G5/J5*K5),0),"")</f>
        <v>0</v>
      </c>
      <c r="V5" s="67">
        <f t="shared" ref="V5:V7" si="2">IF(C5&lt;&gt;"",ROUND((O5/7.33*1.4)*L5+(O5/7.33*1.4*1.4)*M5,0),"")</f>
        <v>0</v>
      </c>
      <c r="W5" s="67">
        <f>IF(C5&lt;&gt;"",ROUND((O5)/(7.33)*N5*0.35,0),"")</f>
        <v>0</v>
      </c>
      <c r="X5" s="67">
        <f t="shared" ref="X5:X7" si="3">IF(C5&lt;&gt;"",O5*I5,"")</f>
        <v>0</v>
      </c>
      <c r="Y5" s="73">
        <f>IF(C5&lt;&gt;"",R5+S5+T5+U5+V5+W5+X5,"")</f>
        <v>18768810</v>
      </c>
      <c r="Z5" s="67">
        <f t="shared" ref="Z5:Z17" si="4">IF(C5&lt;&gt;"",Y5-U5-X5,"")</f>
        <v>18768810</v>
      </c>
      <c r="AA5" s="67">
        <f>IF(C5&lt;&gt;"",IF(Z5&lt;=('بخشنامه وزارت کار'!$B$7*'بخشنامه وزارت کار'!$B$4)*K5,Z5*7%,('بخشنامه وزارت کار'!$B$7*'بخشنامه وزارت کار'!$B$4*K5)*7%),"")</f>
        <v>1313816.7000000002</v>
      </c>
      <c r="AB5" s="67">
        <f>IF(C5&lt;&gt;"",IF(Z5&lt;='بخشنامه وزارت کار'!$B$4*'بخشنامه وزارت کار'!$B$7*K5,Z5*23%,'بخشنامه وزارت کار'!$B$4*'بخشنامه وزارت کار'!$B$7*K5*23%),"")</f>
        <v>4316826.3</v>
      </c>
      <c r="AC5" s="67">
        <f t="shared" ref="AC5:AC7" si="5">IF(C5&lt;&gt;"",Y5-X5,"")</f>
        <v>18768810</v>
      </c>
      <c r="AD5" s="67">
        <f t="shared" ref="AD5:AD10" si="6">IF(C5&lt;&gt;"",AC5-(AA5*2/7),"")</f>
        <v>18393433.800000001</v>
      </c>
      <c r="AE5" s="67">
        <f>IF(C5&lt;&gt;"",ROUND(IF(AD5&lt;='بخشنامه وزارت کار'!$E$4,0,IF(AD5&lt;='بخشنامه وزارت کار'!$E$5,((AD5)-'بخشنامه وزارت کار'!$E$4)*0.1,IF((AD5)&lt;='بخشنامه وزارت کار'!$E$6,'بخشنامه وزارت کار'!$G$5*0.1+((AD5-'بخشنامه وزارت کار'!$E$5)*0.15),'بخشنامه وزارت کار'!$G$5*0.1+'بخشنامه وزارت کار'!$G$6*0.15+((AD5-'بخشنامه وزارت کار'!$E$6)*0.2)))),0),"")</f>
        <v>0</v>
      </c>
      <c r="AF5" s="67">
        <f>IF(C5&lt;&gt;"",ROUND(IF(AD5&lt;='بخشنامه وزارت کار'!$E$7,'فروردین 98'!AE5,IF(AD5&lt;='بخشنامه وزارت کار'!$E$8,'بخشنامه وزارت کار'!$G$5*0.1+'بخشنامه وزارت کار'!$G$6*0.15+'بخشنامه وزارت کار'!$G$7*0.2+((AD5-'بخشنامه وزارت کار'!$E$7)*0.25),'بخشنامه وزارت کار'!$G$5*0.1+'بخشنامه وزارت کار'!$G$6*0.15+'بخشنامه وزارت کار'!$G$7*0.2+'بخشنامه وزارت کار'!$G$8*0.25+('فروردین 98'!AD5-'بخشنامه وزارت کار'!$E$8)*0.35)),0),"")</f>
        <v>0</v>
      </c>
      <c r="AG5" s="67"/>
      <c r="AH5" s="67">
        <f>IF(C5&lt;&gt;"",AG5+AF5+AA5,"")</f>
        <v>1313816.7000000002</v>
      </c>
      <c r="AI5" s="68">
        <f t="shared" ref="AI5:AI17" si="7">IF(C5&lt;&gt;"",Y5-AH5,"")</f>
        <v>17454993.300000001</v>
      </c>
    </row>
    <row r="6" spans="1:40" s="69" customFormat="1" ht="30" customHeight="1" x14ac:dyDescent="0.3">
      <c r="A6" s="70">
        <v>2</v>
      </c>
      <c r="B6" s="71" t="s">
        <v>62</v>
      </c>
      <c r="C6" s="71" t="s">
        <v>63</v>
      </c>
      <c r="D6" s="71"/>
      <c r="E6" s="71"/>
      <c r="F6" s="71">
        <v>1002</v>
      </c>
      <c r="G6" s="71">
        <v>1</v>
      </c>
      <c r="H6" s="71" t="s">
        <v>72</v>
      </c>
      <c r="I6" s="71"/>
      <c r="J6" s="71">
        <v>31</v>
      </c>
      <c r="K6" s="71">
        <v>31</v>
      </c>
      <c r="L6" s="71">
        <v>1</v>
      </c>
      <c r="M6" s="71"/>
      <c r="N6" s="71"/>
      <c r="O6" s="72">
        <v>505627</v>
      </c>
      <c r="P6" s="72">
        <f t="shared" si="0"/>
        <v>15674437</v>
      </c>
      <c r="Q6" s="72">
        <f>IF(C6&lt;&gt;"",ROUND('بخشنامه وزارت کار'!$B$8*K6,0),"")</f>
        <v>723333</v>
      </c>
      <c r="R6" s="72">
        <f t="shared" si="1"/>
        <v>16397770</v>
      </c>
      <c r="S6" s="72">
        <f>IF(C6&lt;&gt;"",ROUND('بخشنامه وزارت کار'!$B$5/J6*K6,0),"")</f>
        <v>1000000</v>
      </c>
      <c r="T6" s="72">
        <f>IF(C6&lt;&gt;"",ROUND('بخشنامه وزارت کار'!$B$6/J6*K6,0),"")</f>
        <v>1900000</v>
      </c>
      <c r="U6" s="72">
        <f>IF(C6&lt;&gt;"",ROUND((3*'بخشنامه وزارت کار'!$B$4*G6/J6*K6),0),"")</f>
        <v>1516881</v>
      </c>
      <c r="V6" s="72">
        <f t="shared" si="2"/>
        <v>96573</v>
      </c>
      <c r="W6" s="72">
        <f t="shared" ref="W6:W17" si="8">IF(C6&lt;&gt;"",ROUND((O6)/(7.33)*N6*0.35,0),"")</f>
        <v>0</v>
      </c>
      <c r="X6" s="72">
        <f t="shared" si="3"/>
        <v>0</v>
      </c>
      <c r="Y6" s="73">
        <f t="shared" ref="Y6" si="9">IF(C6&lt;&gt;"",R6+S6+T6+U6+V6+W6+X6,"")</f>
        <v>20911224</v>
      </c>
      <c r="Z6" s="72">
        <f t="shared" si="4"/>
        <v>19394343</v>
      </c>
      <c r="AA6" s="72">
        <f>IF(C6&lt;&gt;"",IF(Z6&lt;=('بخشنامه وزارت کار'!$B$7*'بخشنامه وزارت کار'!$B$4)*K6,Z6*7%,('بخشنامه وزارت کار'!$B$7*'بخشنامه وزارت کار'!$B$4*K6)*7%),"")</f>
        <v>1357604.0100000002</v>
      </c>
      <c r="AB6" s="72">
        <f>IF(C6&lt;&gt;"",IF(Z6&lt;='بخشنامه وزارت کار'!$B$4*'بخشنامه وزارت کار'!$B$7*K6,Z6*23%,'بخشنامه وزارت کار'!$B$4*'بخشنامه وزارت کار'!$B$7*K6*23%),"")</f>
        <v>4460698.8900000006</v>
      </c>
      <c r="AC6" s="72">
        <f>IF(C6&lt;&gt;"",Y6-X6,"")</f>
        <v>20911224</v>
      </c>
      <c r="AD6" s="72">
        <f t="shared" si="6"/>
        <v>20523337.140000001</v>
      </c>
      <c r="AE6" s="72">
        <f>IF(C6&lt;&gt;"",ROUND(IF(AD6&lt;='بخشنامه وزارت کار'!$E$4,0,IF(AD6&lt;='بخشنامه وزارت کار'!$E$5,((AD6)-'بخشنامه وزارت کار'!$E$4)*0.1,IF((AD6)&lt;='بخشنامه وزارت کار'!$E$6,'بخشنامه وزارت کار'!$G$5*0.1+((AD6-'بخشنامه وزارت کار'!$E$5)*0.15),'بخشنامه وزارت کار'!$G$5*0.1+'بخشنامه وزارت کار'!$G$6*0.15+((AD6-'بخشنامه وزارت کار'!$E$6)*0.2)))),0),"")</f>
        <v>0</v>
      </c>
      <c r="AF6" s="72">
        <f>IF(C6&lt;&gt;"",ROUND(IF(AD6&lt;='بخشنامه وزارت کار'!$E$7,'فروردین 98'!AE6,IF(AD6&lt;='بخشنامه وزارت کار'!$E$8,'بخشنامه وزارت کار'!$G$5*0.1+'بخشنامه وزارت کار'!$G$6*0.15+'بخشنامه وزارت کار'!$G$7*0.2+((AD6-'بخشنامه وزارت کار'!$E$7)*0.25),'بخشنامه وزارت کار'!$G$5*0.1+'بخشنامه وزارت کار'!$G$6*0.15+'بخشنامه وزارت کار'!$G$7*0.2+'بخشنامه وزارت کار'!$G$8*0.25+('فروردین 98'!AD6-'بخشنامه وزارت کار'!$E$8)*0.35)),0),"")</f>
        <v>0</v>
      </c>
      <c r="AG6" s="72"/>
      <c r="AH6" s="72">
        <f t="shared" ref="AH6:AH17" si="10">IF(C6&lt;&gt;"",AG6+AF6+AA6,"")</f>
        <v>1357604.0100000002</v>
      </c>
      <c r="AI6" s="74">
        <f t="shared" si="7"/>
        <v>19553619.989999998</v>
      </c>
    </row>
    <row r="7" spans="1:40" s="69" customFormat="1" ht="30" customHeight="1" x14ac:dyDescent="0.3">
      <c r="A7" s="70">
        <v>3</v>
      </c>
      <c r="B7" s="71" t="s">
        <v>64</v>
      </c>
      <c r="C7" s="71" t="s">
        <v>65</v>
      </c>
      <c r="D7" s="71"/>
      <c r="E7" s="71"/>
      <c r="F7" s="71">
        <v>1003</v>
      </c>
      <c r="G7" s="71"/>
      <c r="H7" s="71" t="s">
        <v>72</v>
      </c>
      <c r="I7" s="71"/>
      <c r="J7" s="71">
        <v>31</v>
      </c>
      <c r="K7" s="71">
        <v>31</v>
      </c>
      <c r="L7" s="71"/>
      <c r="M7" s="71">
        <v>1</v>
      </c>
      <c r="N7" s="71"/>
      <c r="O7" s="72">
        <v>505627</v>
      </c>
      <c r="P7" s="72">
        <f t="shared" si="0"/>
        <v>15674437</v>
      </c>
      <c r="Q7" s="72">
        <f>IF(C7&lt;&gt;"",ROUND('بخشنامه وزارت کار'!$B$8*K7,0),"")</f>
        <v>723333</v>
      </c>
      <c r="R7" s="72">
        <f t="shared" si="1"/>
        <v>16397770</v>
      </c>
      <c r="S7" s="72">
        <f>IF(C7&lt;&gt;"",ROUND('بخشنامه وزارت کار'!$B$5/J7*K7,0),"")</f>
        <v>1000000</v>
      </c>
      <c r="T7" s="72">
        <f>IF(C7&lt;&gt;"",ROUND('بخشنامه وزارت کار'!$B$6/J7*K7,0),"")</f>
        <v>1900000</v>
      </c>
      <c r="U7" s="72">
        <f>IF(C7&lt;&gt;"",ROUND((3*'بخشنامه وزارت کار'!$B$4*G7/J7*K7),0),"")</f>
        <v>0</v>
      </c>
      <c r="V7" s="72">
        <f t="shared" si="2"/>
        <v>135202</v>
      </c>
      <c r="W7" s="72">
        <f t="shared" si="8"/>
        <v>0</v>
      </c>
      <c r="X7" s="72">
        <f t="shared" si="3"/>
        <v>0</v>
      </c>
      <c r="Y7" s="73">
        <f>IF(C7&lt;&gt;"",R7+S7+T7+U7+V7+W7+X7,"")</f>
        <v>19432972</v>
      </c>
      <c r="Z7" s="72">
        <f t="shared" si="4"/>
        <v>19432972</v>
      </c>
      <c r="AA7" s="72">
        <f>IF(C7&lt;&gt;"",IF(Z7&lt;=('بخشنامه وزارت کار'!$B$7*'بخشنامه وزارت کار'!$B$4)*K7,Z7*7%,('بخشنامه وزارت کار'!$B$7*'بخشنامه وزارت کار'!$B$4*K7)*7%),"")</f>
        <v>1360308.04</v>
      </c>
      <c r="AB7" s="72">
        <f>IF(C7&lt;&gt;"",IF(Z7&lt;='بخشنامه وزارت کار'!$B$4*'بخشنامه وزارت کار'!$B$7*K7,Z7*23%,'بخشنامه وزارت کار'!$B$4*'بخشنامه وزارت کار'!$B$7*K7*23%),"")</f>
        <v>4469583.5600000005</v>
      </c>
      <c r="AC7" s="72">
        <f t="shared" si="5"/>
        <v>19432972</v>
      </c>
      <c r="AD7" s="72">
        <f t="shared" si="6"/>
        <v>19044312.559999999</v>
      </c>
      <c r="AE7" s="72">
        <f>IF(C7&lt;&gt;"",ROUND(IF(AD7&lt;='بخشنامه وزارت کار'!$E$4,0,IF(AD7&lt;='بخشنامه وزارت کار'!$E$5,((AD7)-'بخشنامه وزارت کار'!$E$4)*0.1,IF((AD7)&lt;='بخشنامه وزارت کار'!$E$6,'بخشنامه وزارت کار'!$G$5*0.1+((AD7-'بخشنامه وزارت کار'!$E$5)*0.15),'بخشنامه وزارت کار'!$G$5*0.1+'بخشنامه وزارت کار'!$G$6*0.15+((AD7-'بخشنامه وزارت کار'!$E$6)*0.2)))),0),"")</f>
        <v>0</v>
      </c>
      <c r="AF7" s="72">
        <f>IF(C7&lt;&gt;"",ROUND(IF(AD7&lt;='بخشنامه وزارت کار'!$E$7,'فروردین 98'!AE7,IF(AD7&lt;='بخشنامه وزارت کار'!$E$8,'بخشنامه وزارت کار'!$G$5*0.1+'بخشنامه وزارت کار'!$G$6*0.15+'بخشنامه وزارت کار'!$G$7*0.2+((AD7-'بخشنامه وزارت کار'!$E$7)*0.25),'بخشنامه وزارت کار'!$G$5*0.1+'بخشنامه وزارت کار'!$G$6*0.15+'بخشنامه وزارت کار'!$G$7*0.2+'بخشنامه وزارت کار'!$G$8*0.25+('فروردین 98'!AD7-'بخشنامه وزارت کار'!$E$8)*0.35)),0),"")</f>
        <v>0</v>
      </c>
      <c r="AG7" s="72"/>
      <c r="AH7" s="72">
        <f t="shared" si="10"/>
        <v>1360308.04</v>
      </c>
      <c r="AI7" s="74">
        <f t="shared" si="7"/>
        <v>18072663.960000001</v>
      </c>
    </row>
    <row r="8" spans="1:40" s="69" customFormat="1" ht="30" customHeight="1" x14ac:dyDescent="0.3">
      <c r="A8" s="70">
        <v>4</v>
      </c>
      <c r="B8" s="71"/>
      <c r="C8" s="71"/>
      <c r="D8" s="71"/>
      <c r="E8" s="71"/>
      <c r="F8" s="71"/>
      <c r="G8" s="71"/>
      <c r="H8" s="71"/>
      <c r="I8" s="71"/>
      <c r="J8" s="71">
        <v>31</v>
      </c>
      <c r="K8" s="71"/>
      <c r="L8" s="71"/>
      <c r="M8" s="71"/>
      <c r="N8" s="71"/>
      <c r="O8" s="72"/>
      <c r="P8" s="72" t="str">
        <f>IF(C8&lt;&gt;"",O8*K8,"")</f>
        <v/>
      </c>
      <c r="Q8" s="72" t="str">
        <f>IF(C8&lt;&gt;"",ROUND('بخشنامه وزارت کار'!$B$8*K8,0),"")</f>
        <v/>
      </c>
      <c r="R8" s="72" t="str">
        <f>IF(C8&lt;&gt;"",Q8+P8,"")</f>
        <v/>
      </c>
      <c r="S8" s="72" t="str">
        <f>IF(C8&lt;&gt;"",ROUND('بخشنامه وزارت کار'!$B$5/J8*K8,0),"")</f>
        <v/>
      </c>
      <c r="T8" s="72" t="str">
        <f>IF(C8&lt;&gt;"",ROUND('بخشنامه وزارت کار'!$B$6/J8*K8,0),"")</f>
        <v/>
      </c>
      <c r="U8" s="72" t="str">
        <f>IF(C8&lt;&gt;"",ROUND((3*'بخشنامه وزارت کار'!$B$4*G8/J8*K8),0),"")</f>
        <v/>
      </c>
      <c r="V8" s="72" t="str">
        <f>IF(C8&lt;&gt;"",ROUND((O8/7.33*1.4)*L8+(O8/7.33*1.4*1.4)*M8,0),"")</f>
        <v/>
      </c>
      <c r="W8" s="72" t="str">
        <f t="shared" si="8"/>
        <v/>
      </c>
      <c r="X8" s="72" t="str">
        <f>IF(C8&lt;&gt;"",O8*I8,"")</f>
        <v/>
      </c>
      <c r="Y8" s="73" t="str">
        <f t="shared" ref="Y8:Y17" si="11">IF(C8&lt;&gt;"",R8+S8+T8+U8+V8+W8+X8,"")</f>
        <v/>
      </c>
      <c r="Z8" s="72" t="str">
        <f t="shared" si="4"/>
        <v/>
      </c>
      <c r="AA8" s="72" t="str">
        <f>IF(C8&lt;&gt;"",IF(Z8&lt;=('بخشنامه وزارت کار'!$B$7*'بخشنامه وزارت کار'!$B$4)*K8,Z8*7%,('بخشنامه وزارت کار'!$B$7*'بخشنامه وزارت کار'!$B$4*K8)*7%),"")</f>
        <v/>
      </c>
      <c r="AB8" s="72" t="str">
        <f>IF(C8&lt;&gt;"",IF(Z8&lt;='بخشنامه وزارت کار'!$B$4*'بخشنامه وزارت کار'!$B$7*K8,Z8*23%,'بخشنامه وزارت کار'!$B$4*'بخشنامه وزارت کار'!$B$7*K8*23%),"")</f>
        <v/>
      </c>
      <c r="AC8" s="72" t="str">
        <f>IF(C8&lt;&gt;"",Y8-X8,"")</f>
        <v/>
      </c>
      <c r="AD8" s="72" t="str">
        <f t="shared" si="6"/>
        <v/>
      </c>
      <c r="AE8" s="72" t="str">
        <f>IF(C8&lt;&gt;"",ROUND(IF(AD8&lt;='بخشنامه وزارت کار'!$E$4,0,IF(AD8&lt;='بخشنامه وزارت کار'!$E$5,((AD8)-'بخشنامه وزارت کار'!$E$4)*0.1,IF((AD8)&lt;='بخشنامه وزارت کار'!$E$6,'بخشنامه وزارت کار'!$G$5*0.1+((AD8-'بخشنامه وزارت کار'!$E$5)*0.15),'بخشنامه وزارت کار'!$G$5*0.1+'بخشنامه وزارت کار'!$G$6*0.15+((AD8-'بخشنامه وزارت کار'!$E$6)*0.2)))),0),"")</f>
        <v/>
      </c>
      <c r="AF8" s="72" t="str">
        <f>IF(C8&lt;&gt;"",ROUND(IF(AD8&lt;='بخشنامه وزارت کار'!$E$7,'فروردین 98'!AE8,IF(AD8&lt;='بخشنامه وزارت کار'!$E$8,'بخشنامه وزارت کار'!$G$5*0.1+'بخشنامه وزارت کار'!$G$6*0.15+'بخشنامه وزارت کار'!$G$7*0.2+((AD8-'بخشنامه وزارت کار'!$E$7)*0.25),'بخشنامه وزارت کار'!$G$5*0.1+'بخشنامه وزارت کار'!$G$6*0.15+'بخشنامه وزارت کار'!$G$7*0.2+'بخشنامه وزارت کار'!$G$8*0.25+('فروردین 98'!AD8-'بخشنامه وزارت کار'!$E$8)*0.35)),0),"")</f>
        <v/>
      </c>
      <c r="AG8" s="72"/>
      <c r="AH8" s="72" t="str">
        <f>IF(C8&lt;&gt;"",AG8+AF8+AA8,"")</f>
        <v/>
      </c>
      <c r="AI8" s="74" t="str">
        <f t="shared" si="7"/>
        <v/>
      </c>
    </row>
    <row r="9" spans="1:40" s="69" customFormat="1" ht="30" customHeight="1" x14ac:dyDescent="0.3">
      <c r="A9" s="70">
        <v>5</v>
      </c>
      <c r="B9" s="71"/>
      <c r="C9" s="71"/>
      <c r="D9" s="71"/>
      <c r="E9" s="71"/>
      <c r="F9" s="71"/>
      <c r="G9" s="71"/>
      <c r="H9" s="71"/>
      <c r="I9" s="71"/>
      <c r="J9" s="71">
        <v>31</v>
      </c>
      <c r="K9" s="71"/>
      <c r="L9" s="71"/>
      <c r="M9" s="71"/>
      <c r="N9" s="71"/>
      <c r="O9" s="72"/>
      <c r="P9" s="72" t="str">
        <f t="shared" ref="P9:P17" si="12">IF(C9&lt;&gt;"",O9*K9,"")</f>
        <v/>
      </c>
      <c r="Q9" s="72" t="str">
        <f>IF(C9&lt;&gt;"",ROUND('بخشنامه وزارت کار'!$B$8*K9,0),"")</f>
        <v/>
      </c>
      <c r="R9" s="72" t="str">
        <f t="shared" ref="R9:R17" si="13">IF(C9&lt;&gt;"",Q9+P9,"")</f>
        <v/>
      </c>
      <c r="S9" s="72" t="str">
        <f>IF(C9&lt;&gt;"",ROUND('بخشنامه وزارت کار'!$B$5/J9*K9,0),"")</f>
        <v/>
      </c>
      <c r="T9" s="72" t="str">
        <f>IF(C9&lt;&gt;"",ROUND('بخشنامه وزارت کار'!$B$6/J9*K9,0),"")</f>
        <v/>
      </c>
      <c r="U9" s="72" t="str">
        <f>IF(C9&lt;&gt;"",ROUND((3*'بخشنامه وزارت کار'!$B$4*G9/J9*K9),0),"")</f>
        <v/>
      </c>
      <c r="V9" s="72" t="str">
        <f t="shared" ref="V9:V17" si="14">IF(C9&lt;&gt;"",ROUND((O9/7.33*1.4)*L9+(O9/7.33*1.4*1.4)*M9,0),"")</f>
        <v/>
      </c>
      <c r="W9" s="72" t="str">
        <f t="shared" si="8"/>
        <v/>
      </c>
      <c r="X9" s="72" t="str">
        <f t="shared" ref="X9:X17" si="15">IF(C9&lt;&gt;"",O9*I9,"")</f>
        <v/>
      </c>
      <c r="Y9" s="73" t="str">
        <f t="shared" si="11"/>
        <v/>
      </c>
      <c r="Z9" s="72" t="str">
        <f t="shared" si="4"/>
        <v/>
      </c>
      <c r="AA9" s="72" t="str">
        <f>IF(C9&lt;&gt;"",IF(Z9&lt;=('بخشنامه وزارت کار'!$B$7*'بخشنامه وزارت کار'!$B$4)*K9,Z9*7%,('بخشنامه وزارت کار'!$B$7*'بخشنامه وزارت کار'!$B$4*K9)*7%),"")</f>
        <v/>
      </c>
      <c r="AB9" s="72" t="str">
        <f>IF(C9&lt;&gt;"",IF(Z9&lt;='بخشنامه وزارت کار'!$B$4*'بخشنامه وزارت کار'!$B$7*K9,Z9*23%,'بخشنامه وزارت کار'!$B$4*'بخشنامه وزارت کار'!$B$7*K9*23%),"")</f>
        <v/>
      </c>
      <c r="AC9" s="72" t="str">
        <f t="shared" ref="AC9:AC17" si="16">IF(C9&lt;&gt;"",Y9-X9,"")</f>
        <v/>
      </c>
      <c r="AD9" s="72" t="str">
        <f t="shared" si="6"/>
        <v/>
      </c>
      <c r="AE9" s="72" t="str">
        <f>IF(C9&lt;&gt;"",ROUND(IF(AD9&lt;='بخشنامه وزارت کار'!$E$4,0,IF(AD9&lt;='بخشنامه وزارت کار'!$E$5,((AD9)-'بخشنامه وزارت کار'!$E$4)*0.1,IF((AD9)&lt;='بخشنامه وزارت کار'!$E$6,'بخشنامه وزارت کار'!$G$5*0.1+((AD9-'بخشنامه وزارت کار'!$E$5)*0.15),'بخشنامه وزارت کار'!$G$5*0.1+'بخشنامه وزارت کار'!$G$6*0.15+((AD9-'بخشنامه وزارت کار'!$E$6)*0.2)))),0),"")</f>
        <v/>
      </c>
      <c r="AF9" s="72" t="str">
        <f>IF(C9&lt;&gt;"",ROUND(IF(AD9&lt;='بخشنامه وزارت کار'!$E$7,'فروردین 98'!AE9,IF(AD9&lt;='بخشنامه وزارت کار'!$E$8,'بخشنامه وزارت کار'!$G$5*0.1+'بخشنامه وزارت کار'!$G$6*0.15+'بخشنامه وزارت کار'!$G$7*0.2+((AD9-'بخشنامه وزارت کار'!$E$7)*0.25),'بخشنامه وزارت کار'!$G$5*0.1+'بخشنامه وزارت کار'!$G$6*0.15+'بخشنامه وزارت کار'!$G$7*0.2+'بخشنامه وزارت کار'!$G$8*0.25+('فروردین 98'!AD9-'بخشنامه وزارت کار'!$E$8)*0.35)),0),"")</f>
        <v/>
      </c>
      <c r="AG9" s="72"/>
      <c r="AH9" s="72" t="str">
        <f t="shared" si="10"/>
        <v/>
      </c>
      <c r="AI9" s="74" t="str">
        <f t="shared" si="7"/>
        <v/>
      </c>
    </row>
    <row r="10" spans="1:40" s="69" customFormat="1" ht="30" customHeight="1" x14ac:dyDescent="0.3">
      <c r="A10" s="70">
        <v>6</v>
      </c>
      <c r="B10" s="71"/>
      <c r="C10" s="71"/>
      <c r="D10" s="71"/>
      <c r="E10" s="71"/>
      <c r="F10" s="71"/>
      <c r="G10" s="71"/>
      <c r="H10" s="71"/>
      <c r="I10" s="71"/>
      <c r="J10" s="71">
        <v>31</v>
      </c>
      <c r="K10" s="71"/>
      <c r="L10" s="71"/>
      <c r="M10" s="71"/>
      <c r="N10" s="71"/>
      <c r="O10" s="72"/>
      <c r="P10" s="72" t="str">
        <f t="shared" si="12"/>
        <v/>
      </c>
      <c r="Q10" s="72" t="str">
        <f>IF(C10&lt;&gt;"",ROUND('بخشنامه وزارت کار'!$B$8*K10,0),"")</f>
        <v/>
      </c>
      <c r="R10" s="72" t="str">
        <f t="shared" si="13"/>
        <v/>
      </c>
      <c r="S10" s="72" t="str">
        <f>IF(C10&lt;&gt;"",ROUND('بخشنامه وزارت کار'!$B$5/J10*K10,0),"")</f>
        <v/>
      </c>
      <c r="T10" s="72" t="str">
        <f>IF(C10&lt;&gt;"",ROUND('بخشنامه وزارت کار'!$B$6/J10*K10,0),"")</f>
        <v/>
      </c>
      <c r="U10" s="72" t="str">
        <f>IF(C10&lt;&gt;"",ROUND((3*'بخشنامه وزارت کار'!$B$4*G10/J10*K10),0),"")</f>
        <v/>
      </c>
      <c r="V10" s="72" t="str">
        <f t="shared" si="14"/>
        <v/>
      </c>
      <c r="W10" s="72" t="str">
        <f t="shared" si="8"/>
        <v/>
      </c>
      <c r="X10" s="72" t="str">
        <f t="shared" si="15"/>
        <v/>
      </c>
      <c r="Y10" s="73" t="str">
        <f t="shared" si="11"/>
        <v/>
      </c>
      <c r="Z10" s="72" t="str">
        <f t="shared" si="4"/>
        <v/>
      </c>
      <c r="AA10" s="72" t="str">
        <f>IF(C10&lt;&gt;"",IF(Z10&lt;=('بخشنامه وزارت کار'!$B$7*'بخشنامه وزارت کار'!$B$4)*K10,Z10*7%,('بخشنامه وزارت کار'!$B$7*'بخشنامه وزارت کار'!$B$4*K10)*7%),"")</f>
        <v/>
      </c>
      <c r="AB10" s="72" t="str">
        <f>IF(C10&lt;&gt;"",IF(Z10&lt;='بخشنامه وزارت کار'!$B$4*'بخشنامه وزارت کار'!$B$7*K10,Z10*23%,'بخشنامه وزارت کار'!$B$4*'بخشنامه وزارت کار'!$B$7*K10*23%),"")</f>
        <v/>
      </c>
      <c r="AC10" s="72" t="str">
        <f t="shared" si="16"/>
        <v/>
      </c>
      <c r="AD10" s="72" t="str">
        <f t="shared" si="6"/>
        <v/>
      </c>
      <c r="AE10" s="72" t="str">
        <f>IF(C10&lt;&gt;"",ROUND(IF(AD10&lt;='بخشنامه وزارت کار'!$E$4,0,IF(AD10&lt;='بخشنامه وزارت کار'!$E$5,((AD10)-'بخشنامه وزارت کار'!$E$4)*0.1,IF((AD10)&lt;='بخشنامه وزارت کار'!$E$6,'بخشنامه وزارت کار'!$G$5*0.1+((AD10-'بخشنامه وزارت کار'!$E$5)*0.15),'بخشنامه وزارت کار'!$G$5*0.1+'بخشنامه وزارت کار'!$G$6*0.15+((AD10-'بخشنامه وزارت کار'!$E$6)*0.2)))),0),"")</f>
        <v/>
      </c>
      <c r="AF10" s="72" t="str">
        <f>IF(C10&lt;&gt;"",ROUND(IF(AD10&lt;='بخشنامه وزارت کار'!$E$7,'فروردین 98'!AE10,IF(AD10&lt;='بخشنامه وزارت کار'!$E$8,'بخشنامه وزارت کار'!$G$5*0.1+'بخشنامه وزارت کار'!$G$6*0.15+'بخشنامه وزارت کار'!$G$7*0.2+((AD10-'بخشنامه وزارت کار'!$E$7)*0.25),'بخشنامه وزارت کار'!$G$5*0.1+'بخشنامه وزارت کار'!$G$6*0.15+'بخشنامه وزارت کار'!$G$7*0.2+'بخشنامه وزارت کار'!$G$8*0.25+('فروردین 98'!AD10-'بخشنامه وزارت کار'!$E$8)*0.35)),0),"")</f>
        <v/>
      </c>
      <c r="AG10" s="72"/>
      <c r="AH10" s="72" t="str">
        <f t="shared" si="10"/>
        <v/>
      </c>
      <c r="AI10" s="74" t="str">
        <f t="shared" si="7"/>
        <v/>
      </c>
    </row>
    <row r="11" spans="1:40" s="69" customFormat="1" ht="30" customHeight="1" x14ac:dyDescent="0.3">
      <c r="A11" s="70">
        <v>7</v>
      </c>
      <c r="B11" s="71"/>
      <c r="C11" s="71"/>
      <c r="D11" s="71"/>
      <c r="E11" s="71"/>
      <c r="F11" s="71"/>
      <c r="G11" s="71"/>
      <c r="H11" s="71"/>
      <c r="I11" s="71"/>
      <c r="J11" s="71">
        <v>31</v>
      </c>
      <c r="K11" s="71"/>
      <c r="L11" s="71"/>
      <c r="M11" s="71"/>
      <c r="N11" s="71"/>
      <c r="O11" s="72"/>
      <c r="P11" s="72" t="str">
        <f t="shared" si="12"/>
        <v/>
      </c>
      <c r="Q11" s="72" t="str">
        <f>IF(C11&lt;&gt;"",ROUND('بخشنامه وزارت کار'!$B$8*K11,0),"")</f>
        <v/>
      </c>
      <c r="R11" s="72" t="str">
        <f t="shared" si="13"/>
        <v/>
      </c>
      <c r="S11" s="72" t="str">
        <f>IF(C11&lt;&gt;"",ROUND('بخشنامه وزارت کار'!$B$5/J11*K11,0),"")</f>
        <v/>
      </c>
      <c r="T11" s="72" t="str">
        <f>IF(C11&lt;&gt;"",ROUND('بخشنامه وزارت کار'!$B$6/J11*K11,0),"")</f>
        <v/>
      </c>
      <c r="U11" s="72" t="str">
        <f>IF(C11&lt;&gt;"",ROUND((3*'بخشنامه وزارت کار'!$B$4*G11/J11*K11),0),"")</f>
        <v/>
      </c>
      <c r="V11" s="72" t="str">
        <f t="shared" si="14"/>
        <v/>
      </c>
      <c r="W11" s="72" t="str">
        <f t="shared" si="8"/>
        <v/>
      </c>
      <c r="X11" s="72" t="str">
        <f t="shared" si="15"/>
        <v/>
      </c>
      <c r="Y11" s="73" t="str">
        <f t="shared" si="11"/>
        <v/>
      </c>
      <c r="Z11" s="72" t="str">
        <f t="shared" si="4"/>
        <v/>
      </c>
      <c r="AA11" s="72" t="str">
        <f>IF(C11&lt;&gt;"",IF(Z11&lt;=('بخشنامه وزارت کار'!$B$7*'بخشنامه وزارت کار'!$B$4)*K11,Z11*7%,('بخشنامه وزارت کار'!$B$7*'بخشنامه وزارت کار'!$B$4*K11)*7%),"")</f>
        <v/>
      </c>
      <c r="AB11" s="72" t="str">
        <f>IF(C11&lt;&gt;"",IF(Z11&lt;='بخشنامه وزارت کار'!$B$4*'بخشنامه وزارت کار'!$B$7*K11,Z11*23%,'بخشنامه وزارت کار'!$B$4*'بخشنامه وزارت کار'!$B$7*K11*23%),"")</f>
        <v/>
      </c>
      <c r="AC11" s="72" t="str">
        <f t="shared" si="16"/>
        <v/>
      </c>
      <c r="AD11" s="72" t="str">
        <f t="shared" ref="AD11:AD17" si="17">IF(C11&lt;&gt;"",AC11-(AA11*2/7),"")</f>
        <v/>
      </c>
      <c r="AE11" s="72" t="str">
        <f>IF(C11&lt;&gt;"",ROUND(IF(AD11&lt;='بخشنامه وزارت کار'!$E$4,0,IF(AD11&lt;='بخشنامه وزارت کار'!$E$5,((AD11)-'بخشنامه وزارت کار'!$E$4)*0.1,IF((AD11)&lt;='بخشنامه وزارت کار'!$E$6,'بخشنامه وزارت کار'!$G$5*0.1+((AD11-'بخشنامه وزارت کار'!$E$5)*0.15),'بخشنامه وزارت کار'!$G$5*0.1+'بخشنامه وزارت کار'!$G$6*0.15+((AD11-'بخشنامه وزارت کار'!$E$6)*0.2)))),0),"")</f>
        <v/>
      </c>
      <c r="AF11" s="72" t="str">
        <f>IF(C11&lt;&gt;"",ROUND(IF(AD11&lt;='بخشنامه وزارت کار'!$E$7,'فروردین 98'!AE11,IF(AD11&lt;='بخشنامه وزارت کار'!$E$8,'بخشنامه وزارت کار'!$G$5*0.1+'بخشنامه وزارت کار'!$G$6*0.15+'بخشنامه وزارت کار'!$G$7*0.2+((AD11-'بخشنامه وزارت کار'!$E$7)*0.25),'بخشنامه وزارت کار'!$G$5*0.1+'بخشنامه وزارت کار'!$G$6*0.15+'بخشنامه وزارت کار'!$G$7*0.2+'بخشنامه وزارت کار'!$G$8*0.25+('فروردین 98'!AD11-'بخشنامه وزارت کار'!$E$8)*0.35)),0),"")</f>
        <v/>
      </c>
      <c r="AG11" s="72"/>
      <c r="AH11" s="72" t="str">
        <f t="shared" si="10"/>
        <v/>
      </c>
      <c r="AI11" s="74" t="str">
        <f t="shared" si="7"/>
        <v/>
      </c>
    </row>
    <row r="12" spans="1:40" s="69" customFormat="1" ht="30" customHeight="1" x14ac:dyDescent="0.3">
      <c r="A12" s="70">
        <v>8</v>
      </c>
      <c r="B12" s="71"/>
      <c r="C12" s="71"/>
      <c r="D12" s="71"/>
      <c r="E12" s="71"/>
      <c r="F12" s="71"/>
      <c r="G12" s="71"/>
      <c r="H12" s="71"/>
      <c r="I12" s="71"/>
      <c r="J12" s="71">
        <v>31</v>
      </c>
      <c r="K12" s="71"/>
      <c r="L12" s="71"/>
      <c r="M12" s="71"/>
      <c r="N12" s="71"/>
      <c r="O12" s="72"/>
      <c r="P12" s="72" t="str">
        <f t="shared" si="12"/>
        <v/>
      </c>
      <c r="Q12" s="72" t="str">
        <f>IF(C12&lt;&gt;"",ROUND('بخشنامه وزارت کار'!$B$8*K12,0),"")</f>
        <v/>
      </c>
      <c r="R12" s="72" t="str">
        <f t="shared" si="13"/>
        <v/>
      </c>
      <c r="S12" s="72" t="str">
        <f>IF(C12&lt;&gt;"",ROUND('بخشنامه وزارت کار'!$B$5/J12*K12,0),"")</f>
        <v/>
      </c>
      <c r="T12" s="72" t="str">
        <f>IF(C12&lt;&gt;"",ROUND('بخشنامه وزارت کار'!$B$6/J12*K12,0),"")</f>
        <v/>
      </c>
      <c r="U12" s="72" t="str">
        <f>IF(C12&lt;&gt;"",ROUND((3*'بخشنامه وزارت کار'!$B$4*G12/J12*K12),0),"")</f>
        <v/>
      </c>
      <c r="V12" s="72" t="str">
        <f t="shared" si="14"/>
        <v/>
      </c>
      <c r="W12" s="72" t="str">
        <f t="shared" si="8"/>
        <v/>
      </c>
      <c r="X12" s="72" t="str">
        <f t="shared" si="15"/>
        <v/>
      </c>
      <c r="Y12" s="73" t="str">
        <f t="shared" si="11"/>
        <v/>
      </c>
      <c r="Z12" s="72" t="str">
        <f t="shared" si="4"/>
        <v/>
      </c>
      <c r="AA12" s="72" t="str">
        <f>IF(C12&lt;&gt;"",IF(Z12&lt;=('بخشنامه وزارت کار'!$B$7*'بخشنامه وزارت کار'!$B$4)*K12,Z12*7%,('بخشنامه وزارت کار'!$B$7*'بخشنامه وزارت کار'!$B$4*K12)*7%),"")</f>
        <v/>
      </c>
      <c r="AB12" s="72" t="str">
        <f>IF(C12&lt;&gt;"",IF(Z12&lt;='بخشنامه وزارت کار'!$B$4*'بخشنامه وزارت کار'!$B$7*K12,Z12*23%,'بخشنامه وزارت کار'!$B$4*'بخشنامه وزارت کار'!$B$7*K12*23%),"")</f>
        <v/>
      </c>
      <c r="AC12" s="72" t="str">
        <f t="shared" si="16"/>
        <v/>
      </c>
      <c r="AD12" s="72" t="str">
        <f t="shared" si="17"/>
        <v/>
      </c>
      <c r="AE12" s="72" t="str">
        <f>IF(C12&lt;&gt;"",ROUND(IF(AD12&lt;='بخشنامه وزارت کار'!$E$4,0,IF(AD12&lt;='بخشنامه وزارت کار'!$E$5,((AD12)-'بخشنامه وزارت کار'!$E$4)*0.1,IF((AD12)&lt;='بخشنامه وزارت کار'!$E$6,'بخشنامه وزارت کار'!$G$5*0.1+((AD12-'بخشنامه وزارت کار'!$E$5)*0.15),'بخشنامه وزارت کار'!$G$5*0.1+'بخشنامه وزارت کار'!$G$6*0.15+((AD12-'بخشنامه وزارت کار'!$E$6)*0.2)))),0),"")</f>
        <v/>
      </c>
      <c r="AF12" s="72" t="str">
        <f>IF(C12&lt;&gt;"",ROUND(IF(AD12&lt;='بخشنامه وزارت کار'!$E$7,'فروردین 98'!AE12,IF(AD12&lt;='بخشنامه وزارت کار'!$E$8,'بخشنامه وزارت کار'!$G$5*0.1+'بخشنامه وزارت کار'!$G$6*0.15+'بخشنامه وزارت کار'!$G$7*0.2+((AD12-'بخشنامه وزارت کار'!$E$7)*0.25),'بخشنامه وزارت کار'!$G$5*0.1+'بخشنامه وزارت کار'!$G$6*0.15+'بخشنامه وزارت کار'!$G$7*0.2+'بخشنامه وزارت کار'!$G$8*0.25+('فروردین 98'!AD12-'بخشنامه وزارت کار'!$E$8)*0.35)),0),"")</f>
        <v/>
      </c>
      <c r="AG12" s="72"/>
      <c r="AH12" s="72" t="str">
        <f t="shared" si="10"/>
        <v/>
      </c>
      <c r="AI12" s="74" t="str">
        <f t="shared" si="7"/>
        <v/>
      </c>
    </row>
    <row r="13" spans="1:40" s="69" customFormat="1" ht="30" customHeight="1" x14ac:dyDescent="0.3">
      <c r="A13" s="70">
        <v>9</v>
      </c>
      <c r="B13" s="71"/>
      <c r="C13" s="71"/>
      <c r="D13" s="71"/>
      <c r="E13" s="71"/>
      <c r="F13" s="71"/>
      <c r="G13" s="71"/>
      <c r="H13" s="71"/>
      <c r="I13" s="71"/>
      <c r="J13" s="71">
        <v>31</v>
      </c>
      <c r="K13" s="71"/>
      <c r="L13" s="71"/>
      <c r="M13" s="71"/>
      <c r="N13" s="71"/>
      <c r="O13" s="72"/>
      <c r="P13" s="72" t="str">
        <f t="shared" si="12"/>
        <v/>
      </c>
      <c r="Q13" s="72" t="str">
        <f>IF(C13&lt;&gt;"",ROUND('بخشنامه وزارت کار'!$B$8*K13,0),"")</f>
        <v/>
      </c>
      <c r="R13" s="72" t="str">
        <f t="shared" si="13"/>
        <v/>
      </c>
      <c r="S13" s="72" t="str">
        <f>IF(C13&lt;&gt;"",ROUND('بخشنامه وزارت کار'!$B$5/J13*K13,0),"")</f>
        <v/>
      </c>
      <c r="T13" s="72" t="str">
        <f>IF(C13&lt;&gt;"",ROUND('بخشنامه وزارت کار'!$B$6/J13*K13,0),"")</f>
        <v/>
      </c>
      <c r="U13" s="72" t="str">
        <f>IF(C13&lt;&gt;"",ROUND((3*'بخشنامه وزارت کار'!$B$4*G13/J13*K13),0),"")</f>
        <v/>
      </c>
      <c r="V13" s="72" t="str">
        <f t="shared" si="14"/>
        <v/>
      </c>
      <c r="W13" s="72" t="str">
        <f t="shared" si="8"/>
        <v/>
      </c>
      <c r="X13" s="72" t="str">
        <f t="shared" si="15"/>
        <v/>
      </c>
      <c r="Y13" s="73" t="str">
        <f t="shared" si="11"/>
        <v/>
      </c>
      <c r="Z13" s="72" t="str">
        <f t="shared" si="4"/>
        <v/>
      </c>
      <c r="AA13" s="72" t="str">
        <f>IF(C13&lt;&gt;"",IF(Z13&lt;=('بخشنامه وزارت کار'!$B$7*'بخشنامه وزارت کار'!$B$4)*K13,Z13*7%,('بخشنامه وزارت کار'!$B$7*'بخشنامه وزارت کار'!$B$4*K13)*7%),"")</f>
        <v/>
      </c>
      <c r="AB13" s="72" t="str">
        <f>IF(C13&lt;&gt;"",IF(Z13&lt;='بخشنامه وزارت کار'!$B$4*'بخشنامه وزارت کار'!$B$7*K13,Z13*23%,'بخشنامه وزارت کار'!$B$4*'بخشنامه وزارت کار'!$B$7*K13*23%),"")</f>
        <v/>
      </c>
      <c r="AC13" s="72" t="str">
        <f t="shared" si="16"/>
        <v/>
      </c>
      <c r="AD13" s="72" t="str">
        <f t="shared" si="17"/>
        <v/>
      </c>
      <c r="AE13" s="72" t="str">
        <f>IF(C13&lt;&gt;"",ROUND(IF(AD13&lt;='بخشنامه وزارت کار'!$E$4,0,IF(AD13&lt;='بخشنامه وزارت کار'!$E$5,((AD13)-'بخشنامه وزارت کار'!$E$4)*0.1,IF((AD13)&lt;='بخشنامه وزارت کار'!$E$6,'بخشنامه وزارت کار'!$G$5*0.1+((AD13-'بخشنامه وزارت کار'!$E$5)*0.15),'بخشنامه وزارت کار'!$G$5*0.1+'بخشنامه وزارت کار'!$G$6*0.15+((AD13-'بخشنامه وزارت کار'!$E$6)*0.2)))),0),"")</f>
        <v/>
      </c>
      <c r="AF13" s="72" t="str">
        <f>IF(C13&lt;&gt;"",ROUND(IF(AD13&lt;='بخشنامه وزارت کار'!$E$7,'فروردین 98'!AE13,IF(AD13&lt;='بخشنامه وزارت کار'!$E$8,'بخشنامه وزارت کار'!$G$5*0.1+'بخشنامه وزارت کار'!$G$6*0.15+'بخشنامه وزارت کار'!$G$7*0.2+((AD13-'بخشنامه وزارت کار'!$E$7)*0.25),'بخشنامه وزارت کار'!$G$5*0.1+'بخشنامه وزارت کار'!$G$6*0.15+'بخشنامه وزارت کار'!$G$7*0.2+'بخشنامه وزارت کار'!$G$8*0.25+('فروردین 98'!AD13-'بخشنامه وزارت کار'!$E$8)*0.35)),0),"")</f>
        <v/>
      </c>
      <c r="AG13" s="72"/>
      <c r="AH13" s="72" t="str">
        <f t="shared" si="10"/>
        <v/>
      </c>
      <c r="AI13" s="74" t="str">
        <f t="shared" si="7"/>
        <v/>
      </c>
    </row>
    <row r="14" spans="1:40" s="69" customFormat="1" ht="30" customHeight="1" x14ac:dyDescent="0.3">
      <c r="A14" s="70">
        <v>10</v>
      </c>
      <c r="B14" s="71"/>
      <c r="C14" s="71"/>
      <c r="D14" s="71"/>
      <c r="E14" s="71"/>
      <c r="F14" s="71"/>
      <c r="G14" s="71"/>
      <c r="H14" s="71"/>
      <c r="I14" s="71"/>
      <c r="J14" s="71">
        <v>31</v>
      </c>
      <c r="K14" s="71"/>
      <c r="L14" s="71"/>
      <c r="M14" s="71"/>
      <c r="N14" s="71"/>
      <c r="O14" s="72"/>
      <c r="P14" s="72" t="str">
        <f t="shared" si="12"/>
        <v/>
      </c>
      <c r="Q14" s="72" t="str">
        <f>IF(C14&lt;&gt;"",ROUND('بخشنامه وزارت کار'!$B$8*K14,0),"")</f>
        <v/>
      </c>
      <c r="R14" s="72" t="str">
        <f t="shared" si="13"/>
        <v/>
      </c>
      <c r="S14" s="72" t="str">
        <f>IF(C14&lt;&gt;"",ROUND('بخشنامه وزارت کار'!$B$5/J14*K14,0),"")</f>
        <v/>
      </c>
      <c r="T14" s="72" t="str">
        <f>IF(C14&lt;&gt;"",ROUND('بخشنامه وزارت کار'!$B$6/J14*K14,0),"")</f>
        <v/>
      </c>
      <c r="U14" s="72" t="str">
        <f>IF(C14&lt;&gt;"",ROUND((3*'بخشنامه وزارت کار'!$B$4*G14/J14*K14),0),"")</f>
        <v/>
      </c>
      <c r="V14" s="72" t="str">
        <f t="shared" si="14"/>
        <v/>
      </c>
      <c r="W14" s="72" t="str">
        <f t="shared" si="8"/>
        <v/>
      </c>
      <c r="X14" s="72" t="str">
        <f t="shared" si="15"/>
        <v/>
      </c>
      <c r="Y14" s="73" t="str">
        <f t="shared" si="11"/>
        <v/>
      </c>
      <c r="Z14" s="72" t="str">
        <f t="shared" si="4"/>
        <v/>
      </c>
      <c r="AA14" s="72" t="str">
        <f>IF(C14&lt;&gt;"",IF(Z14&lt;=('بخشنامه وزارت کار'!$B$7*'بخشنامه وزارت کار'!$B$4)*K14,Z14*7%,('بخشنامه وزارت کار'!$B$7*'بخشنامه وزارت کار'!$B$4*K14)*7%),"")</f>
        <v/>
      </c>
      <c r="AB14" s="72" t="str">
        <f>IF(C14&lt;&gt;"",IF(Z14&lt;='بخشنامه وزارت کار'!$B$4*'بخشنامه وزارت کار'!$B$7*K14,Z14*23%,'بخشنامه وزارت کار'!$B$4*'بخشنامه وزارت کار'!$B$7*K14*23%),"")</f>
        <v/>
      </c>
      <c r="AC14" s="72" t="str">
        <f t="shared" si="16"/>
        <v/>
      </c>
      <c r="AD14" s="72" t="str">
        <f t="shared" si="17"/>
        <v/>
      </c>
      <c r="AE14" s="72" t="str">
        <f>IF(C14&lt;&gt;"",ROUND(IF(AD14&lt;='بخشنامه وزارت کار'!$E$4,0,IF(AD14&lt;='بخشنامه وزارت کار'!$E$5,((AD14)-'بخشنامه وزارت کار'!$E$4)*0.1,IF((AD14)&lt;='بخشنامه وزارت کار'!$E$6,'بخشنامه وزارت کار'!$G$5*0.1+((AD14-'بخشنامه وزارت کار'!$E$5)*0.15),'بخشنامه وزارت کار'!$G$5*0.1+'بخشنامه وزارت کار'!$G$6*0.15+((AD14-'بخشنامه وزارت کار'!$E$6)*0.2)))),0),"")</f>
        <v/>
      </c>
      <c r="AF14" s="72" t="str">
        <f>IF(C14&lt;&gt;"",ROUND(IF(AD14&lt;='بخشنامه وزارت کار'!$E$7,'فروردین 98'!AE14,IF(AD14&lt;='بخشنامه وزارت کار'!$E$8,'بخشنامه وزارت کار'!$G$5*0.1+'بخشنامه وزارت کار'!$G$6*0.15+'بخشنامه وزارت کار'!$G$7*0.2+((AD14-'بخشنامه وزارت کار'!$E$7)*0.25),'بخشنامه وزارت کار'!$G$5*0.1+'بخشنامه وزارت کار'!$G$6*0.15+'بخشنامه وزارت کار'!$G$7*0.2+'بخشنامه وزارت کار'!$G$8*0.25+('فروردین 98'!AD14-'بخشنامه وزارت کار'!$E$8)*0.35)),0),"")</f>
        <v/>
      </c>
      <c r="AG14" s="72"/>
      <c r="AH14" s="72" t="str">
        <f t="shared" si="10"/>
        <v/>
      </c>
      <c r="AI14" s="74" t="str">
        <f t="shared" si="7"/>
        <v/>
      </c>
    </row>
    <row r="15" spans="1:40" s="69" customFormat="1" ht="30" customHeight="1" x14ac:dyDescent="0.3">
      <c r="A15" s="70">
        <v>11</v>
      </c>
      <c r="B15" s="71"/>
      <c r="C15" s="71"/>
      <c r="D15" s="71"/>
      <c r="E15" s="71"/>
      <c r="F15" s="71"/>
      <c r="G15" s="71"/>
      <c r="H15" s="71"/>
      <c r="I15" s="71"/>
      <c r="J15" s="71">
        <v>31</v>
      </c>
      <c r="K15" s="71"/>
      <c r="L15" s="71"/>
      <c r="M15" s="71"/>
      <c r="N15" s="71"/>
      <c r="O15" s="72"/>
      <c r="P15" s="72" t="str">
        <f t="shared" si="12"/>
        <v/>
      </c>
      <c r="Q15" s="72" t="str">
        <f>IF(C15&lt;&gt;"",ROUND('بخشنامه وزارت کار'!$B$8*K15,0),"")</f>
        <v/>
      </c>
      <c r="R15" s="72" t="str">
        <f t="shared" si="13"/>
        <v/>
      </c>
      <c r="S15" s="72" t="str">
        <f>IF(C15&lt;&gt;"",ROUND('بخشنامه وزارت کار'!$B$5/J15*K15,0),"")</f>
        <v/>
      </c>
      <c r="T15" s="72" t="str">
        <f>IF(C15&lt;&gt;"",ROUND('بخشنامه وزارت کار'!$B$6/J15*K15,0),"")</f>
        <v/>
      </c>
      <c r="U15" s="72" t="str">
        <f>IF(C15&lt;&gt;"",ROUND((3*'بخشنامه وزارت کار'!$B$4*G15/J15*K15),0),"")</f>
        <v/>
      </c>
      <c r="V15" s="72" t="str">
        <f t="shared" si="14"/>
        <v/>
      </c>
      <c r="W15" s="72" t="str">
        <f t="shared" si="8"/>
        <v/>
      </c>
      <c r="X15" s="72" t="str">
        <f t="shared" si="15"/>
        <v/>
      </c>
      <c r="Y15" s="73" t="str">
        <f t="shared" si="11"/>
        <v/>
      </c>
      <c r="Z15" s="72" t="str">
        <f t="shared" si="4"/>
        <v/>
      </c>
      <c r="AA15" s="72" t="str">
        <f>IF(C15&lt;&gt;"",IF(Z15&lt;=('بخشنامه وزارت کار'!$B$7*'بخشنامه وزارت کار'!$B$4)*K15,Z15*7%,('بخشنامه وزارت کار'!$B$7*'بخشنامه وزارت کار'!$B$4*K15)*7%),"")</f>
        <v/>
      </c>
      <c r="AB15" s="72" t="str">
        <f>IF(C15&lt;&gt;"",IF(Z15&lt;='بخشنامه وزارت کار'!$B$4*'بخشنامه وزارت کار'!$B$7*K15,Z15*23%,'بخشنامه وزارت کار'!$B$4*'بخشنامه وزارت کار'!$B$7*K15*23%),"")</f>
        <v/>
      </c>
      <c r="AC15" s="72" t="str">
        <f t="shared" si="16"/>
        <v/>
      </c>
      <c r="AD15" s="72" t="str">
        <f t="shared" si="17"/>
        <v/>
      </c>
      <c r="AE15" s="72" t="str">
        <f>IF(C15&lt;&gt;"",ROUND(IF(AD15&lt;='بخشنامه وزارت کار'!$E$4,0,IF(AD15&lt;='بخشنامه وزارت کار'!$E$5,((AD15)-'بخشنامه وزارت کار'!$E$4)*0.1,IF((AD15)&lt;='بخشنامه وزارت کار'!$E$6,'بخشنامه وزارت کار'!$G$5*0.1+((AD15-'بخشنامه وزارت کار'!$E$5)*0.15),'بخشنامه وزارت کار'!$G$5*0.1+'بخشنامه وزارت کار'!$G$6*0.15+((AD15-'بخشنامه وزارت کار'!$E$6)*0.2)))),0),"")</f>
        <v/>
      </c>
      <c r="AF15" s="72" t="str">
        <f>IF(C15&lt;&gt;"",ROUND(IF(AD15&lt;='بخشنامه وزارت کار'!$E$7,'فروردین 98'!AE15,IF(AD15&lt;='بخشنامه وزارت کار'!$E$8,'بخشنامه وزارت کار'!$G$5*0.1+'بخشنامه وزارت کار'!$G$6*0.15+'بخشنامه وزارت کار'!$G$7*0.2+((AD15-'بخشنامه وزارت کار'!$E$7)*0.25),'بخشنامه وزارت کار'!$G$5*0.1+'بخشنامه وزارت کار'!$G$6*0.15+'بخشنامه وزارت کار'!$G$7*0.2+'بخشنامه وزارت کار'!$G$8*0.25+('فروردین 98'!AD15-'بخشنامه وزارت کار'!$E$8)*0.35)),0),"")</f>
        <v/>
      </c>
      <c r="AG15" s="72"/>
      <c r="AH15" s="72" t="str">
        <f t="shared" si="10"/>
        <v/>
      </c>
      <c r="AI15" s="74" t="str">
        <f t="shared" si="7"/>
        <v/>
      </c>
    </row>
    <row r="16" spans="1:40" s="69" customFormat="1" ht="30" customHeight="1" x14ac:dyDescent="0.3">
      <c r="A16" s="70">
        <v>12</v>
      </c>
      <c r="B16" s="71"/>
      <c r="C16" s="71"/>
      <c r="D16" s="71"/>
      <c r="E16" s="71"/>
      <c r="F16" s="71"/>
      <c r="G16" s="71"/>
      <c r="H16" s="71"/>
      <c r="I16" s="71"/>
      <c r="J16" s="71">
        <v>31</v>
      </c>
      <c r="K16" s="71"/>
      <c r="L16" s="71"/>
      <c r="M16" s="71"/>
      <c r="N16" s="71"/>
      <c r="O16" s="72"/>
      <c r="P16" s="72" t="str">
        <f t="shared" si="12"/>
        <v/>
      </c>
      <c r="Q16" s="72" t="str">
        <f>IF(C16&lt;&gt;"",ROUND('بخشنامه وزارت کار'!$B$8*K16,0),"")</f>
        <v/>
      </c>
      <c r="R16" s="72" t="str">
        <f t="shared" si="13"/>
        <v/>
      </c>
      <c r="S16" s="72" t="str">
        <f>IF(C16&lt;&gt;"",ROUND('بخشنامه وزارت کار'!$B$5/J16*K16,0),"")</f>
        <v/>
      </c>
      <c r="T16" s="72" t="str">
        <f>IF(C16&lt;&gt;"",ROUND('بخشنامه وزارت کار'!$B$6/J16*K16,0),"")</f>
        <v/>
      </c>
      <c r="U16" s="72" t="str">
        <f>IF(C16&lt;&gt;"",ROUND((3*'بخشنامه وزارت کار'!$B$4*G16/J16*K16),0),"")</f>
        <v/>
      </c>
      <c r="V16" s="72" t="str">
        <f t="shared" si="14"/>
        <v/>
      </c>
      <c r="W16" s="72" t="str">
        <f t="shared" si="8"/>
        <v/>
      </c>
      <c r="X16" s="72" t="str">
        <f t="shared" si="15"/>
        <v/>
      </c>
      <c r="Y16" s="73" t="str">
        <f t="shared" si="11"/>
        <v/>
      </c>
      <c r="Z16" s="72" t="str">
        <f t="shared" si="4"/>
        <v/>
      </c>
      <c r="AA16" s="72" t="str">
        <f>IF(C16&lt;&gt;"",IF(Z16&lt;=('بخشنامه وزارت کار'!$B$7*'بخشنامه وزارت کار'!$B$4)*K16,Z16*7%,('بخشنامه وزارت کار'!$B$7*'بخشنامه وزارت کار'!$B$4*K16)*7%),"")</f>
        <v/>
      </c>
      <c r="AB16" s="72" t="str">
        <f>IF(C16&lt;&gt;"",IF(Z16&lt;='بخشنامه وزارت کار'!$B$4*'بخشنامه وزارت کار'!$B$7*K16,Z16*23%,'بخشنامه وزارت کار'!$B$4*'بخشنامه وزارت کار'!$B$7*K16*23%),"")</f>
        <v/>
      </c>
      <c r="AC16" s="72" t="str">
        <f t="shared" si="16"/>
        <v/>
      </c>
      <c r="AD16" s="72" t="str">
        <f t="shared" si="17"/>
        <v/>
      </c>
      <c r="AE16" s="72" t="str">
        <f>IF(C16&lt;&gt;"",ROUND(IF(AD16&lt;='بخشنامه وزارت کار'!$E$4,0,IF(AD16&lt;='بخشنامه وزارت کار'!$E$5,((AD16)-'بخشنامه وزارت کار'!$E$4)*0.1,IF((AD16)&lt;='بخشنامه وزارت کار'!$E$6,'بخشنامه وزارت کار'!$G$5*0.1+((AD16-'بخشنامه وزارت کار'!$E$5)*0.15),'بخشنامه وزارت کار'!$G$5*0.1+'بخشنامه وزارت کار'!$G$6*0.15+((AD16-'بخشنامه وزارت کار'!$E$6)*0.2)))),0),"")</f>
        <v/>
      </c>
      <c r="AF16" s="72" t="str">
        <f>IF(C16&lt;&gt;"",ROUND(IF(AD16&lt;='بخشنامه وزارت کار'!$E$7,'فروردین 98'!AE16,IF(AD16&lt;='بخشنامه وزارت کار'!$E$8,'بخشنامه وزارت کار'!$G$5*0.1+'بخشنامه وزارت کار'!$G$6*0.15+'بخشنامه وزارت کار'!$G$7*0.2+((AD16-'بخشنامه وزارت کار'!$E$7)*0.25),'بخشنامه وزارت کار'!$G$5*0.1+'بخشنامه وزارت کار'!$G$6*0.15+'بخشنامه وزارت کار'!$G$7*0.2+'بخشنامه وزارت کار'!$G$8*0.25+('فروردین 98'!AD16-'بخشنامه وزارت کار'!$E$8)*0.35)),0),"")</f>
        <v/>
      </c>
      <c r="AG16" s="72"/>
      <c r="AH16" s="72" t="str">
        <f t="shared" si="10"/>
        <v/>
      </c>
      <c r="AI16" s="74" t="str">
        <f t="shared" si="7"/>
        <v/>
      </c>
    </row>
    <row r="17" spans="1:37" s="69" customFormat="1" ht="30" customHeight="1" thickBot="1" x14ac:dyDescent="0.35">
      <c r="A17" s="75">
        <v>13</v>
      </c>
      <c r="B17" s="76"/>
      <c r="C17" s="76"/>
      <c r="D17" s="76"/>
      <c r="E17" s="76"/>
      <c r="F17" s="76"/>
      <c r="G17" s="76"/>
      <c r="H17" s="76"/>
      <c r="I17" s="76"/>
      <c r="J17" s="76">
        <v>31</v>
      </c>
      <c r="K17" s="76"/>
      <c r="L17" s="76"/>
      <c r="M17" s="76"/>
      <c r="N17" s="76"/>
      <c r="O17" s="77"/>
      <c r="P17" s="77" t="str">
        <f t="shared" si="12"/>
        <v/>
      </c>
      <c r="Q17" s="77" t="str">
        <f>IF(C17&lt;&gt;"",ROUND('بخشنامه وزارت کار'!$B$8*K17,0),"")</f>
        <v/>
      </c>
      <c r="R17" s="77" t="str">
        <f t="shared" si="13"/>
        <v/>
      </c>
      <c r="S17" s="77" t="str">
        <f>IF(C17&lt;&gt;"",ROUND('بخشنامه وزارت کار'!$B$5/J17*K17,0),"")</f>
        <v/>
      </c>
      <c r="T17" s="77" t="str">
        <f>IF(C17&lt;&gt;"",ROUND('بخشنامه وزارت کار'!$B$6/J17*K17,0),"")</f>
        <v/>
      </c>
      <c r="U17" s="77" t="str">
        <f>IF(C17&lt;&gt;"",ROUND((3*'بخشنامه وزارت کار'!$B$4*G17/J17*K17),0),"")</f>
        <v/>
      </c>
      <c r="V17" s="77" t="str">
        <f t="shared" si="14"/>
        <v/>
      </c>
      <c r="W17" s="77" t="str">
        <f t="shared" si="8"/>
        <v/>
      </c>
      <c r="X17" s="77" t="str">
        <f t="shared" si="15"/>
        <v/>
      </c>
      <c r="Y17" s="73" t="str">
        <f t="shared" si="11"/>
        <v/>
      </c>
      <c r="Z17" s="77" t="str">
        <f t="shared" si="4"/>
        <v/>
      </c>
      <c r="AA17" s="77" t="str">
        <f>IF(C17&lt;&gt;"",IF(Z17&lt;=('بخشنامه وزارت کار'!$B$7*'بخشنامه وزارت کار'!$B$4)*K17,Z17*7%,('بخشنامه وزارت کار'!$B$7*'بخشنامه وزارت کار'!$B$4*K17)*7%),"")</f>
        <v/>
      </c>
      <c r="AB17" s="77" t="str">
        <f>IF(C17&lt;&gt;"",IF(Z17&lt;='بخشنامه وزارت کار'!$B$4*'بخشنامه وزارت کار'!$B$7*K17,Z17*23%,'بخشنامه وزارت کار'!$B$4*'بخشنامه وزارت کار'!$B$7*K17*23%),"")</f>
        <v/>
      </c>
      <c r="AC17" s="77" t="str">
        <f t="shared" si="16"/>
        <v/>
      </c>
      <c r="AD17" s="77" t="str">
        <f t="shared" si="17"/>
        <v/>
      </c>
      <c r="AE17" s="77" t="str">
        <f>IF(C17&lt;&gt;"",ROUND(IF(AD17&lt;='بخشنامه وزارت کار'!$E$4,0,IF(AD17&lt;='بخشنامه وزارت کار'!$E$5,((AD17)-'بخشنامه وزارت کار'!$E$4)*0.1,IF((AD17)&lt;='بخشنامه وزارت کار'!$E$6,'بخشنامه وزارت کار'!$G$5*0.1+((AD17-'بخشنامه وزارت کار'!$E$5)*0.15),'بخشنامه وزارت کار'!$G$5*0.1+'بخشنامه وزارت کار'!$G$6*0.15+((AD17-'بخشنامه وزارت کار'!$E$6)*0.2)))),0),"")</f>
        <v/>
      </c>
      <c r="AF17" s="77" t="str">
        <f>IF(C17&lt;&gt;"",ROUND(IF(AD17&lt;='بخشنامه وزارت کار'!$E$7,'فروردین 98'!AE17,IF(AD17&lt;='بخشنامه وزارت کار'!$E$8,'بخشنامه وزارت کار'!$G$5*0.1+'بخشنامه وزارت کار'!$G$6*0.15+'بخشنامه وزارت کار'!$G$7*0.2+((AD17-'بخشنامه وزارت کار'!$E$7)*0.25),'بخشنامه وزارت کار'!$G$5*0.1+'بخشنامه وزارت کار'!$G$6*0.15+'بخشنامه وزارت کار'!$G$7*0.2+'بخشنامه وزارت کار'!$G$8*0.25+('فروردین 98'!AD17-'بخشنامه وزارت کار'!$E$8)*0.35)),0),"")</f>
        <v/>
      </c>
      <c r="AG17" s="77"/>
      <c r="AH17" s="77" t="str">
        <f t="shared" si="10"/>
        <v/>
      </c>
      <c r="AI17" s="78" t="str">
        <f t="shared" si="7"/>
        <v/>
      </c>
    </row>
    <row r="18" spans="1:37" s="7" customFormat="1" ht="30" customHeight="1" thickTop="1" thickBot="1" x14ac:dyDescent="0.35">
      <c r="A18" s="82" t="s">
        <v>17</v>
      </c>
      <c r="B18" s="83"/>
      <c r="C18" s="83"/>
      <c r="D18" s="83"/>
      <c r="E18" s="83"/>
      <c r="F18" s="84"/>
      <c r="G18" s="59"/>
      <c r="H18" s="59"/>
      <c r="I18" s="59">
        <f t="shared" ref="I18" si="18">SUM(I5:I17)</f>
        <v>0</v>
      </c>
      <c r="J18" s="60"/>
      <c r="K18" s="61"/>
      <c r="L18" s="62"/>
      <c r="M18" s="62"/>
      <c r="N18" s="62"/>
      <c r="O18" s="59">
        <f>SUM(O5:O17)</f>
        <v>1516881</v>
      </c>
      <c r="P18" s="59">
        <f t="shared" ref="P18:X18" si="19">SUM(P5:P17)</f>
        <v>46517684</v>
      </c>
      <c r="Q18" s="59">
        <f t="shared" si="19"/>
        <v>2146666</v>
      </c>
      <c r="R18" s="59">
        <f t="shared" si="19"/>
        <v>48664350</v>
      </c>
      <c r="S18" s="59">
        <f t="shared" si="19"/>
        <v>3000000</v>
      </c>
      <c r="T18" s="59">
        <f t="shared" si="19"/>
        <v>5700000</v>
      </c>
      <c r="U18" s="59">
        <f t="shared" si="19"/>
        <v>1516881</v>
      </c>
      <c r="V18" s="59">
        <f t="shared" si="19"/>
        <v>231775</v>
      </c>
      <c r="W18" s="59">
        <f t="shared" si="19"/>
        <v>0</v>
      </c>
      <c r="X18" s="59">
        <f t="shared" si="19"/>
        <v>0</v>
      </c>
      <c r="Y18" s="64">
        <f t="shared" ref="Y18:AI18" si="20">SUM(Y5:Y17)</f>
        <v>59113006</v>
      </c>
      <c r="Z18" s="59">
        <f t="shared" si="20"/>
        <v>57596125</v>
      </c>
      <c r="AA18" s="59">
        <f t="shared" si="20"/>
        <v>4031728.7500000005</v>
      </c>
      <c r="AB18" s="59">
        <f t="shared" si="20"/>
        <v>13247108.750000002</v>
      </c>
      <c r="AC18" s="59">
        <f t="shared" si="20"/>
        <v>59113006</v>
      </c>
      <c r="AD18" s="59">
        <f t="shared" si="20"/>
        <v>57961083.5</v>
      </c>
      <c r="AE18" s="59">
        <f t="shared" si="20"/>
        <v>0</v>
      </c>
      <c r="AF18" s="59">
        <f t="shared" si="20"/>
        <v>0</v>
      </c>
      <c r="AG18" s="59">
        <f t="shared" si="20"/>
        <v>0</v>
      </c>
      <c r="AH18" s="59">
        <f t="shared" si="20"/>
        <v>4031728.7500000005</v>
      </c>
      <c r="AI18" s="63">
        <f t="shared" si="20"/>
        <v>55081277.25</v>
      </c>
    </row>
    <row r="19" spans="1:37" s="9" customFormat="1" ht="24.75" thickTop="1" x14ac:dyDescent="0.45">
      <c r="A19" s="38"/>
      <c r="B19" s="38"/>
      <c r="C19" s="38"/>
      <c r="D19" s="38"/>
      <c r="E19" s="38"/>
      <c r="F19" s="38"/>
      <c r="G19" s="38"/>
      <c r="H19" s="38"/>
      <c r="I19" s="38"/>
      <c r="J19" s="39"/>
      <c r="K19" s="38"/>
      <c r="L19" s="38"/>
      <c r="M19" s="38"/>
      <c r="N19" s="38"/>
      <c r="O19" s="38"/>
      <c r="P19" s="38"/>
      <c r="Q19" s="40"/>
      <c r="R19" s="40"/>
      <c r="S19" s="38"/>
      <c r="T19" s="38"/>
      <c r="U19" s="38"/>
      <c r="V19" s="38"/>
      <c r="W19" s="38"/>
      <c r="X19" s="38"/>
      <c r="Y19" s="38"/>
      <c r="Z19" s="41" t="s">
        <v>31</v>
      </c>
      <c r="AA19" s="42">
        <f>Z18*20%</f>
        <v>11519225</v>
      </c>
      <c r="AB19" s="38"/>
      <c r="AC19" s="38"/>
      <c r="AD19" s="38"/>
      <c r="AE19" s="38"/>
      <c r="AF19" s="43"/>
      <c r="AG19" s="40"/>
      <c r="AH19" s="38"/>
      <c r="AI19" s="38"/>
    </row>
    <row r="20" spans="1:37" s="9" customFormat="1" ht="24.75" x14ac:dyDescent="0.6">
      <c r="A20" s="38"/>
      <c r="B20" s="38"/>
      <c r="C20" s="38"/>
      <c r="D20" s="38"/>
      <c r="E20" s="38"/>
      <c r="F20" s="38"/>
      <c r="G20" s="38"/>
      <c r="H20" s="38"/>
      <c r="I20" s="38"/>
      <c r="J20" s="40"/>
      <c r="K20" s="38"/>
      <c r="L20" s="38"/>
      <c r="M20" s="38"/>
      <c r="N20" s="38"/>
      <c r="O20" s="38"/>
      <c r="P20" s="38"/>
      <c r="Q20" s="40"/>
      <c r="R20" s="40"/>
      <c r="S20" s="38"/>
      <c r="T20" s="38"/>
      <c r="U20" s="38"/>
      <c r="V20" s="38"/>
      <c r="W20" s="38"/>
      <c r="X20" s="38"/>
      <c r="Y20" s="38"/>
      <c r="Z20" s="44" t="s">
        <v>30</v>
      </c>
      <c r="AA20" s="45">
        <f>Z18*3%</f>
        <v>1727883.75</v>
      </c>
      <c r="AB20" s="85"/>
      <c r="AC20" s="85"/>
      <c r="AD20" s="46"/>
      <c r="AE20" s="47"/>
      <c r="AF20" s="40"/>
      <c r="AG20" s="40"/>
      <c r="AH20" s="38"/>
      <c r="AI20" s="38"/>
      <c r="AK20" s="8"/>
    </row>
    <row r="21" spans="1:37" s="9" customFormat="1" ht="24" x14ac:dyDescent="0.4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8">
        <v>0.3</v>
      </c>
      <c r="AA21" s="45">
        <f>SUM(AA18:AA20)</f>
        <v>17278837.5</v>
      </c>
      <c r="AB21" s="49"/>
      <c r="AC21" s="49"/>
      <c r="AD21" s="49"/>
      <c r="AE21" s="49"/>
      <c r="AF21" s="38"/>
      <c r="AG21" s="38"/>
      <c r="AH21" s="38"/>
      <c r="AI21" s="38"/>
      <c r="AK21" s="8"/>
    </row>
    <row r="22" spans="1:37" s="2" customFormat="1" x14ac:dyDescent="0.4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K22" s="1"/>
    </row>
    <row r="23" spans="1:37" s="2" customFormat="1" x14ac:dyDescent="0.4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2"/>
      <c r="AC23" s="50"/>
      <c r="AD23" s="50"/>
      <c r="AE23" s="50"/>
      <c r="AF23" s="50"/>
      <c r="AG23" s="50"/>
      <c r="AH23" s="50"/>
      <c r="AI23" s="50"/>
      <c r="AK23" s="1"/>
    </row>
    <row r="47" spans="8:8" x14ac:dyDescent="0.45">
      <c r="H47" s="53"/>
    </row>
    <row r="58" spans="30:30" x14ac:dyDescent="0.45">
      <c r="AD58" s="50">
        <v>125272744933.21001</v>
      </c>
    </row>
  </sheetData>
  <mergeCells count="10">
    <mergeCell ref="AK1:AN1"/>
    <mergeCell ref="D1:AI1"/>
    <mergeCell ref="A1:C1"/>
    <mergeCell ref="A18:F18"/>
    <mergeCell ref="AB20:AC20"/>
    <mergeCell ref="A2:K3"/>
    <mergeCell ref="O2:Y2"/>
    <mergeCell ref="Z2:AH3"/>
    <mergeCell ref="AI2:AI3"/>
    <mergeCell ref="O3:P3"/>
  </mergeCells>
  <printOptions horizontalCentered="1" verticalCentered="1"/>
  <pageMargins left="0" right="0" top="0.74803149606299213" bottom="0" header="0.31496062992125984" footer="0"/>
  <pageSetup paperSize="9" scale="4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rightToLeft="1" zoomScale="70" zoomScaleNormal="70" workbookViewId="0">
      <selection activeCell="A7" sqref="A7"/>
    </sheetView>
  </sheetViews>
  <sheetFormatPr defaultRowHeight="15" x14ac:dyDescent="0.25"/>
  <cols>
    <col min="1" max="1" width="30.5703125" customWidth="1"/>
    <col min="2" max="2" width="12.5703125" style="3" bestFit="1" customWidth="1"/>
    <col min="4" max="4" width="48.42578125" customWidth="1"/>
    <col min="5" max="5" width="17.140625" bestFit="1" customWidth="1"/>
    <col min="6" max="6" width="19.28515625" bestFit="1" customWidth="1"/>
    <col min="7" max="8" width="18.7109375" customWidth="1"/>
    <col min="9" max="9" width="15.28515625" customWidth="1"/>
    <col min="10" max="11" width="11.5703125" bestFit="1" customWidth="1"/>
    <col min="12" max="12" width="14.5703125" bestFit="1" customWidth="1"/>
  </cols>
  <sheetData>
    <row r="2" spans="1:12" ht="15.75" thickBot="1" x14ac:dyDescent="0.3"/>
    <row r="3" spans="1:12" s="20" customFormat="1" ht="46.5" customHeight="1" x14ac:dyDescent="0.25">
      <c r="A3" s="105" t="s">
        <v>59</v>
      </c>
      <c r="B3" s="105"/>
      <c r="D3" s="21" t="s">
        <v>2</v>
      </c>
      <c r="E3" s="56" t="s">
        <v>77</v>
      </c>
      <c r="F3" s="57" t="s">
        <v>76</v>
      </c>
      <c r="G3" s="56" t="s">
        <v>75</v>
      </c>
      <c r="H3" s="57" t="s">
        <v>74</v>
      </c>
      <c r="I3" s="58" t="s">
        <v>73</v>
      </c>
    </row>
    <row r="4" spans="1:12" ht="24.75" x14ac:dyDescent="0.25">
      <c r="A4" t="s">
        <v>34</v>
      </c>
      <c r="B4" s="3">
        <v>505627</v>
      </c>
      <c r="D4" s="11" t="s">
        <v>52</v>
      </c>
      <c r="E4" s="12">
        <v>27500000</v>
      </c>
      <c r="F4" s="18">
        <f>E4*12</f>
        <v>330000000</v>
      </c>
      <c r="G4" s="12">
        <f>E4</f>
        <v>27500000</v>
      </c>
      <c r="H4" s="18">
        <f>G4*12</f>
        <v>330000000</v>
      </c>
      <c r="I4" s="13">
        <v>0</v>
      </c>
      <c r="L4" s="3"/>
    </row>
    <row r="5" spans="1:12" ht="24.75" x14ac:dyDescent="0.25">
      <c r="A5" t="s">
        <v>32</v>
      </c>
      <c r="B5" s="3">
        <v>1000000</v>
      </c>
      <c r="D5" s="11" t="s">
        <v>57</v>
      </c>
      <c r="E5" s="14">
        <f>E4*2.5</f>
        <v>68750000</v>
      </c>
      <c r="F5" s="18">
        <f>E5*12</f>
        <v>825000000</v>
      </c>
      <c r="G5" s="14">
        <f>E5-E4</f>
        <v>41250000</v>
      </c>
      <c r="H5" s="18">
        <f t="shared" ref="H5:H8" si="0">G5*12</f>
        <v>495000000</v>
      </c>
      <c r="I5" s="13">
        <v>0.1</v>
      </c>
      <c r="K5" s="6"/>
      <c r="L5" s="3"/>
    </row>
    <row r="6" spans="1:12" ht="24.75" x14ac:dyDescent="0.25">
      <c r="A6" t="s">
        <v>33</v>
      </c>
      <c r="B6" s="3">
        <v>1900000</v>
      </c>
      <c r="D6" s="11" t="s">
        <v>53</v>
      </c>
      <c r="E6" s="14">
        <f>SUM(E4:E5)</f>
        <v>96250000</v>
      </c>
      <c r="F6" s="18">
        <f>E6*12</f>
        <v>1155000000</v>
      </c>
      <c r="G6" s="14">
        <f>E6-E5</f>
        <v>27500000</v>
      </c>
      <c r="H6" s="18">
        <f t="shared" si="0"/>
        <v>330000000</v>
      </c>
      <c r="I6" s="13">
        <v>0.15</v>
      </c>
      <c r="L6" s="3"/>
    </row>
    <row r="7" spans="1:12" ht="24.75" x14ac:dyDescent="0.25">
      <c r="A7" t="s">
        <v>80</v>
      </c>
      <c r="B7" s="3">
        <v>7</v>
      </c>
      <c r="D7" s="11" t="s">
        <v>54</v>
      </c>
      <c r="E7" s="14">
        <f>E4*1.5+E6</f>
        <v>137500000</v>
      </c>
      <c r="F7" s="18">
        <f>E7*12</f>
        <v>1650000000</v>
      </c>
      <c r="G7" s="14">
        <f>E7-E6</f>
        <v>41250000</v>
      </c>
      <c r="H7" s="18">
        <f t="shared" si="0"/>
        <v>495000000</v>
      </c>
      <c r="I7" s="13">
        <v>0.2</v>
      </c>
    </row>
    <row r="8" spans="1:12" ht="24.75" x14ac:dyDescent="0.25">
      <c r="A8" t="s">
        <v>58</v>
      </c>
      <c r="B8" s="3">
        <f>700000/30</f>
        <v>23333.333333333332</v>
      </c>
      <c r="D8" s="11" t="s">
        <v>55</v>
      </c>
      <c r="E8" s="22">
        <f>E4*2+E7</f>
        <v>192500000</v>
      </c>
      <c r="F8" s="18">
        <f>E8*12</f>
        <v>2310000000</v>
      </c>
      <c r="G8" s="14">
        <f>E8-E7</f>
        <v>55000000</v>
      </c>
      <c r="H8" s="18">
        <f t="shared" si="0"/>
        <v>660000000</v>
      </c>
      <c r="I8" s="23">
        <v>0.25</v>
      </c>
    </row>
    <row r="9" spans="1:12" ht="25.5" thickBot="1" x14ac:dyDescent="0.3">
      <c r="A9" t="s">
        <v>37</v>
      </c>
      <c r="B9" s="3">
        <v>17000</v>
      </c>
      <c r="D9" s="15" t="s">
        <v>56</v>
      </c>
      <c r="E9" s="16"/>
      <c r="F9" s="19"/>
      <c r="G9" s="24"/>
      <c r="H9" s="19"/>
      <c r="I9" s="17">
        <v>0.35</v>
      </c>
      <c r="K9" s="6"/>
    </row>
    <row r="10" spans="1:12" ht="24.75" x14ac:dyDescent="0.6">
      <c r="A10" t="s">
        <v>38</v>
      </c>
      <c r="B10" s="3">
        <v>17000</v>
      </c>
      <c r="D10" s="10"/>
      <c r="E10" s="10"/>
      <c r="F10" s="10"/>
      <c r="G10" s="10"/>
      <c r="H10" s="10"/>
      <c r="I10" s="10"/>
      <c r="K10" s="6"/>
    </row>
    <row r="11" spans="1:12" x14ac:dyDescent="0.25">
      <c r="A11" t="s">
        <v>39</v>
      </c>
      <c r="B11" s="3">
        <v>10000</v>
      </c>
      <c r="G11" s="6"/>
      <c r="H11" s="6"/>
    </row>
    <row r="12" spans="1:12" x14ac:dyDescent="0.25">
      <c r="A12" t="s">
        <v>40</v>
      </c>
      <c r="B12" s="3">
        <v>10000</v>
      </c>
      <c r="E12" s="6"/>
      <c r="F12" s="6"/>
      <c r="G12" s="6"/>
      <c r="J12" s="6"/>
    </row>
    <row r="13" spans="1:12" x14ac:dyDescent="0.25">
      <c r="A13" t="s">
        <v>41</v>
      </c>
      <c r="B13" s="3">
        <v>5000</v>
      </c>
      <c r="D13" s="6"/>
      <c r="E13" s="6"/>
      <c r="F13" s="6"/>
    </row>
    <row r="14" spans="1:12" x14ac:dyDescent="0.25">
      <c r="A14" t="s">
        <v>42</v>
      </c>
      <c r="B14" s="3">
        <v>3000</v>
      </c>
      <c r="E14" s="6"/>
      <c r="F14" s="55"/>
    </row>
    <row r="15" spans="1:12" x14ac:dyDescent="0.25">
      <c r="A15" t="s">
        <v>43</v>
      </c>
      <c r="B15" s="3">
        <v>2500</v>
      </c>
      <c r="F15" s="6"/>
    </row>
    <row r="16" spans="1:12" x14ac:dyDescent="0.25">
      <c r="F16" s="6"/>
    </row>
    <row r="17" spans="5:5" x14ac:dyDescent="0.25">
      <c r="E17" s="6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فروردین 98</vt:lpstr>
      <vt:lpstr>بخشنامه وزارت کار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2020-01-14T14:52:24Z</dcterms:modified>
</cp:coreProperties>
</file>